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xr:revisionPtr revIDLastSave="0" documentId="8_{7B823D6D-A071-D84F-B7A4-6E0C04323821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Panduan" sheetId="1" r:id="rId1"/>
    <sheet name="Buku Penjualan" sheetId="2" r:id="rId2"/>
    <sheet name="Rekap Penjualan Mingguan" sheetId="3" r:id="rId3"/>
    <sheet name="Rekap Penjualan Bulanan" sheetId="4" r:id="rId4"/>
    <sheet name="Buku Kas Operasional" sheetId="5" r:id="rId5"/>
    <sheet name="Hutang Piutang" sheetId="6" r:id="rId6"/>
    <sheet name="Rekap Laba Rugi Bulanan" sheetId="7" r:id="rId7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" i="2" l="1"/>
  <c r="E6" i="2"/>
  <c r="B7" i="7"/>
  <c r="C7" i="7"/>
  <c r="D7" i="7"/>
  <c r="F7" i="7"/>
  <c r="E7" i="2"/>
  <c r="B8" i="7"/>
  <c r="C8" i="7"/>
  <c r="D8" i="7"/>
  <c r="F8" i="7"/>
  <c r="B9" i="7"/>
  <c r="C9" i="7"/>
  <c r="D9" i="7"/>
  <c r="F9" i="7"/>
  <c r="B10" i="7"/>
  <c r="C10" i="7"/>
  <c r="D10" i="7"/>
  <c r="F10" i="7"/>
  <c r="B18" i="7"/>
  <c r="C18" i="7"/>
  <c r="D18" i="7"/>
  <c r="F18" i="7"/>
  <c r="B17" i="7"/>
  <c r="C17" i="7"/>
  <c r="D17" i="7"/>
  <c r="F17" i="7"/>
  <c r="B16" i="7"/>
  <c r="C16" i="7"/>
  <c r="D16" i="7"/>
  <c r="F16" i="7"/>
  <c r="B15" i="7"/>
  <c r="C15" i="7"/>
  <c r="D15" i="7"/>
  <c r="F15" i="7"/>
  <c r="B14" i="7"/>
  <c r="C14" i="7"/>
  <c r="D14" i="7"/>
  <c r="F14" i="7"/>
  <c r="B13" i="7"/>
  <c r="C13" i="7"/>
  <c r="D13" i="7"/>
  <c r="F13" i="7"/>
  <c r="B12" i="7"/>
  <c r="C12" i="7"/>
  <c r="D12" i="7"/>
  <c r="F12" i="7"/>
  <c r="B11" i="7"/>
  <c r="C11" i="7"/>
  <c r="D11" i="7"/>
  <c r="F11" i="7"/>
  <c r="F19" i="7"/>
  <c r="E7" i="7"/>
  <c r="E8" i="7"/>
  <c r="E9" i="7"/>
  <c r="E10" i="7"/>
  <c r="E18" i="7"/>
  <c r="E17" i="7"/>
  <c r="E16" i="7"/>
  <c r="E15" i="7"/>
  <c r="E14" i="7"/>
  <c r="E13" i="7"/>
  <c r="E12" i="7"/>
  <c r="E11" i="7"/>
  <c r="E19" i="7"/>
  <c r="D19" i="7"/>
  <c r="C19" i="7"/>
  <c r="B19" i="7"/>
  <c r="E32" i="6"/>
  <c r="E31" i="6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E45" i="5"/>
  <c r="D45" i="5"/>
  <c r="C7" i="4"/>
  <c r="C8" i="4"/>
  <c r="C9" i="4"/>
  <c r="C10" i="4"/>
  <c r="C18" i="4"/>
  <c r="C17" i="4"/>
  <c r="C16" i="4"/>
  <c r="C15" i="4"/>
  <c r="C14" i="4"/>
  <c r="C13" i="4"/>
  <c r="C12" i="4"/>
  <c r="C11" i="4"/>
  <c r="C19" i="4"/>
  <c r="B7" i="4"/>
  <c r="B8" i="4"/>
  <c r="B9" i="4"/>
  <c r="B10" i="4"/>
  <c r="B18" i="4"/>
  <c r="B17" i="4"/>
  <c r="B16" i="4"/>
  <c r="B15" i="4"/>
  <c r="B14" i="4"/>
  <c r="B13" i="4"/>
  <c r="B12" i="4"/>
  <c r="B11" i="4"/>
  <c r="B19" i="4"/>
  <c r="E8" i="3"/>
  <c r="E61" i="3"/>
  <c r="D8" i="3"/>
  <c r="D61" i="3"/>
  <c r="E60" i="3"/>
  <c r="D60" i="3"/>
  <c r="B60" i="3"/>
  <c r="C60" i="3"/>
  <c r="E59" i="3"/>
  <c r="D59" i="3"/>
  <c r="B59" i="3"/>
  <c r="C59" i="3"/>
  <c r="E58" i="3"/>
  <c r="D58" i="3"/>
  <c r="B58" i="3"/>
  <c r="C58" i="3"/>
  <c r="E57" i="3"/>
  <c r="D57" i="3"/>
  <c r="B57" i="3"/>
  <c r="C57" i="3"/>
  <c r="E56" i="3"/>
  <c r="D56" i="3"/>
  <c r="B56" i="3"/>
  <c r="C56" i="3"/>
  <c r="E55" i="3"/>
  <c r="D55" i="3"/>
  <c r="B55" i="3"/>
  <c r="C55" i="3"/>
  <c r="E54" i="3"/>
  <c r="D54" i="3"/>
  <c r="B54" i="3"/>
  <c r="C54" i="3"/>
  <c r="E53" i="3"/>
  <c r="D53" i="3"/>
  <c r="B53" i="3"/>
  <c r="C53" i="3"/>
  <c r="E52" i="3"/>
  <c r="D52" i="3"/>
  <c r="B52" i="3"/>
  <c r="C52" i="3"/>
  <c r="E51" i="3"/>
  <c r="D51" i="3"/>
  <c r="B51" i="3"/>
  <c r="C51" i="3"/>
  <c r="E50" i="3"/>
  <c r="D50" i="3"/>
  <c r="B50" i="3"/>
  <c r="C50" i="3"/>
  <c r="E49" i="3"/>
  <c r="D49" i="3"/>
  <c r="B49" i="3"/>
  <c r="C49" i="3"/>
  <c r="E48" i="3"/>
  <c r="D48" i="3"/>
  <c r="B48" i="3"/>
  <c r="C48" i="3"/>
  <c r="E47" i="3"/>
  <c r="D47" i="3"/>
  <c r="B47" i="3"/>
  <c r="C47" i="3"/>
  <c r="E46" i="3"/>
  <c r="D46" i="3"/>
  <c r="B46" i="3"/>
  <c r="C46" i="3"/>
  <c r="E45" i="3"/>
  <c r="D45" i="3"/>
  <c r="B45" i="3"/>
  <c r="C45" i="3"/>
  <c r="E44" i="3"/>
  <c r="D44" i="3"/>
  <c r="B44" i="3"/>
  <c r="C44" i="3"/>
  <c r="E43" i="3"/>
  <c r="D43" i="3"/>
  <c r="B43" i="3"/>
  <c r="C43" i="3"/>
  <c r="E42" i="3"/>
  <c r="D42" i="3"/>
  <c r="B42" i="3"/>
  <c r="C42" i="3"/>
  <c r="E41" i="3"/>
  <c r="D41" i="3"/>
  <c r="B41" i="3"/>
  <c r="C41" i="3"/>
  <c r="E40" i="3"/>
  <c r="D40" i="3"/>
  <c r="B40" i="3"/>
  <c r="C40" i="3"/>
  <c r="E39" i="3"/>
  <c r="D39" i="3"/>
  <c r="B39" i="3"/>
  <c r="C39" i="3"/>
  <c r="E38" i="3"/>
  <c r="D38" i="3"/>
  <c r="B38" i="3"/>
  <c r="C38" i="3"/>
  <c r="E37" i="3"/>
  <c r="D37" i="3"/>
  <c r="B37" i="3"/>
  <c r="C37" i="3"/>
  <c r="E36" i="3"/>
  <c r="D36" i="3"/>
  <c r="B36" i="3"/>
  <c r="C36" i="3"/>
  <c r="E35" i="3"/>
  <c r="D35" i="3"/>
  <c r="B35" i="3"/>
  <c r="C35" i="3"/>
  <c r="E34" i="3"/>
  <c r="D34" i="3"/>
  <c r="B34" i="3"/>
  <c r="C34" i="3"/>
  <c r="E33" i="3"/>
  <c r="D33" i="3"/>
  <c r="B33" i="3"/>
  <c r="C33" i="3"/>
  <c r="E32" i="3"/>
  <c r="D32" i="3"/>
  <c r="B32" i="3"/>
  <c r="C32" i="3"/>
  <c r="E31" i="3"/>
  <c r="D31" i="3"/>
  <c r="B31" i="3"/>
  <c r="C31" i="3"/>
  <c r="E30" i="3"/>
  <c r="D30" i="3"/>
  <c r="B30" i="3"/>
  <c r="C30" i="3"/>
  <c r="E29" i="3"/>
  <c r="D29" i="3"/>
  <c r="B29" i="3"/>
  <c r="C29" i="3"/>
  <c r="E28" i="3"/>
  <c r="D28" i="3"/>
  <c r="B28" i="3"/>
  <c r="C28" i="3"/>
  <c r="E27" i="3"/>
  <c r="D27" i="3"/>
  <c r="B27" i="3"/>
  <c r="C27" i="3"/>
  <c r="E26" i="3"/>
  <c r="D26" i="3"/>
  <c r="B26" i="3"/>
  <c r="C26" i="3"/>
  <c r="E25" i="3"/>
  <c r="D25" i="3"/>
  <c r="B25" i="3"/>
  <c r="C25" i="3"/>
  <c r="E24" i="3"/>
  <c r="D24" i="3"/>
  <c r="B24" i="3"/>
  <c r="C24" i="3"/>
  <c r="E23" i="3"/>
  <c r="D23" i="3"/>
  <c r="B23" i="3"/>
  <c r="C23" i="3"/>
  <c r="E22" i="3"/>
  <c r="D22" i="3"/>
  <c r="B22" i="3"/>
  <c r="C22" i="3"/>
  <c r="E21" i="3"/>
  <c r="D21" i="3"/>
  <c r="B21" i="3"/>
  <c r="C21" i="3"/>
  <c r="E20" i="3"/>
  <c r="D20" i="3"/>
  <c r="B20" i="3"/>
  <c r="C20" i="3"/>
  <c r="E19" i="3"/>
  <c r="D19" i="3"/>
  <c r="B19" i="3"/>
  <c r="C19" i="3"/>
  <c r="E18" i="3"/>
  <c r="D18" i="3"/>
  <c r="B18" i="3"/>
  <c r="C18" i="3"/>
  <c r="E17" i="3"/>
  <c r="D17" i="3"/>
  <c r="B17" i="3"/>
  <c r="C17" i="3"/>
  <c r="E16" i="3"/>
  <c r="D16" i="3"/>
  <c r="B16" i="3"/>
  <c r="C16" i="3"/>
  <c r="E15" i="3"/>
  <c r="D15" i="3"/>
  <c r="B15" i="3"/>
  <c r="C15" i="3"/>
  <c r="E14" i="3"/>
  <c r="D14" i="3"/>
  <c r="B14" i="3"/>
  <c r="C14" i="3"/>
  <c r="E13" i="3"/>
  <c r="D13" i="3"/>
  <c r="B13" i="3"/>
  <c r="C13" i="3"/>
  <c r="E12" i="3"/>
  <c r="D12" i="3"/>
  <c r="B12" i="3"/>
  <c r="C12" i="3"/>
  <c r="E11" i="3"/>
  <c r="D11" i="3"/>
  <c r="B11" i="3"/>
  <c r="C11" i="3"/>
  <c r="E10" i="3"/>
  <c r="D10" i="3"/>
  <c r="B10" i="3"/>
  <c r="C10" i="3"/>
  <c r="E9" i="3"/>
  <c r="D9" i="3"/>
  <c r="B9" i="3"/>
  <c r="C9" i="3"/>
  <c r="B8" i="3"/>
  <c r="C8" i="3"/>
  <c r="E8" i="2"/>
  <c r="E9" i="2"/>
  <c r="E10" i="2"/>
  <c r="E11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50" i="2"/>
  <c r="C50" i="2"/>
</calcChain>
</file>

<file path=xl/sharedStrings.xml><?xml version="1.0" encoding="utf-8"?>
<sst xmlns="http://schemas.openxmlformats.org/spreadsheetml/2006/main" count="178" uniqueCount="150">
  <si>
    <t>📒 TEMPLATE PEMBUKUAN UMKM — PENJUALAN &amp; KAS TERPISAH</t>
  </si>
  <si>
    <t>Pendapatan dari jualan dicatat terpisah dari biaya operasional, supaya jelas mana omzet dan mana pengeluaran.</t>
  </si>
  <si>
    <t>Ada 6 sheet (tab) di file ini:</t>
  </si>
  <si>
    <t>🔵  1. Buku Penjualan</t>
  </si>
  <si>
    <t>Catat SETIAP transaksi jualan di sini — produk apa, berapa qty, berapa harga. Ini KHUSUS pendapatan dari jualan, jangan dicampur dengan pengeluaran.</t>
  </si>
  <si>
    <t>🔵  2. Rekap Penjualan Mingguan</t>
  </si>
  <si>
    <t>Terisi OTOMATIS dari Buku Penjualan, dikelompokkan per minggu (Senin–Minggu). Isi cell Tahun di bagian atas, sisanya otomatis. Cocok untuk pantau omzet jangka pendek.</t>
  </si>
  <si>
    <t>🔵  3. Rekap Penjualan Bulanan</t>
  </si>
  <si>
    <t>Terisi OTOMATIS dari Buku Penjualan, dikelompokkan per bulan. Cocok untuk melihat tren omzet dari bulan ke bulan.</t>
  </si>
  <si>
    <t>🟢  4. Buku Kas Operasional</t>
  </si>
  <si>
    <t>Catat uang masuk yang BUKAN dari jualan (modal, pendapatan lain) dan SEMUA pengeluaran usaha: bahan baku, transport, operasional (listrik/sewa/internet), gaji, sampai uang pribadi (prive). Jualan TIDAK dicatat di sini — sudah ada di Buku Penjualan.</t>
  </si>
  <si>
    <t>🟢  5. Hutang Piutang</t>
  </si>
  <si>
    <t>Piutang = uang yang akan diterima usaha (misal barang sudah diambil, belum dibayar). Hutang = uang yang harus dibayar usaha. Ubah Status jadi Lunas setelah selesai.</t>
  </si>
  <si>
    <t>⚫  6. Rekap Laba Rugi Bulanan</t>
  </si>
  <si>
    <t>Ringkasan akhir yang MENGGABUNGKAN data dari Buku Penjualan + Buku Kas Operasional secara otomatis, jadi Anda bisa langsung lihat untung/rugi tiap bulan tanpa hitung manual.</t>
  </si>
  <si>
    <t>Kenapa dipisah antara Penjualan dan Kas Operasional?</t>
  </si>
  <si>
    <t>• Supaya Anda bisa lihat dengan jelas: 'omzet jualan saya berapa?' TANPA tercampur biaya bahan baku, transport, dll.</t>
  </si>
  <si>
    <t>• Supaya bisa dilihat juga: 'pengeluaran usaha saya berapa, paling besar di kategori apa?' secara terpisah dari omzet.</t>
  </si>
  <si>
    <t>• Uang Prive/Pribadi TIDAK dihitung sebagai biaya usaha di Rekap Laba Rugi — karena itu bukan biaya, itu uang yang diambil pemilik untuk keperluan pribadi.</t>
  </si>
  <si>
    <t>Tips Praktis:</t>
  </si>
  <si>
    <t>• Catat transaksi HARI ITU JUGA, jangan menunggu menumpuk.</t>
  </si>
  <si>
    <t>• Setiap kali dapat uang dari jualan lalu disetor/disimpan sebagai kas usaha, itu otomatis sudah terhitung lewat Buku Penjualan — tidak perlu dicatat ulang di Buku Kas Operasional.</t>
  </si>
  <si>
    <t>• Simpan nota/struk fisik sebagai bukti walau sudah dicatat di sini.</t>
  </si>
  <si>
    <t>• Kolom berwarna KUNING adalah kolom yang harus/boleh Anda isi. Kolom lain otomatis (rumus), jangan diubah.</t>
  </si>
  <si>
    <t>BUKU PENJUALAN</t>
  </si>
  <si>
    <t>Catat setiap transaksi jualan. Kolom Total terisi otomatis (Qty x Harga Satuan).</t>
  </si>
  <si>
    <t>Tanggal</t>
  </si>
  <si>
    <t>Nama Produk</t>
  </si>
  <si>
    <t>Qty</t>
  </si>
  <si>
    <t>Harga Satuan (Rp)</t>
  </si>
  <si>
    <t>Total (Rp)</t>
  </si>
  <si>
    <t>Keripik Singkong 200gr</t>
  </si>
  <si>
    <t>Keripik Pisang 200gr</t>
  </si>
  <si>
    <t>TOTAL</t>
  </si>
  <si>
    <t>Contoh isian</t>
  </si>
  <si>
    <t>Kolom untuk Anda isi</t>
  </si>
  <si>
    <t>REKAP PENJUALAN MINGGUAN</t>
  </si>
  <si>
    <t>Terisi otomatis dari Buku Penjualan. Isi Tahun di sel kuning (B4).</t>
  </si>
  <si>
    <t>Tahun:</t>
  </si>
  <si>
    <t>Minggu mengikuti kalender ISO (Senin = awal minggu).</t>
  </si>
  <si>
    <t>Minggu Ke</t>
  </si>
  <si>
    <t>Tanggal Mulai</t>
  </si>
  <si>
    <t>Tanggal Selesai</t>
  </si>
  <si>
    <t>Total Qty Terjual</t>
  </si>
  <si>
    <t>Total Pendapatan (Rp)</t>
  </si>
  <si>
    <t>Minggu 1</t>
  </si>
  <si>
    <t>Minggu 2</t>
  </si>
  <si>
    <t>Minggu 3</t>
  </si>
  <si>
    <t>Minggu 4</t>
  </si>
  <si>
    <t>Minggu 5</t>
  </si>
  <si>
    <t>Minggu 6</t>
  </si>
  <si>
    <t>Minggu 7</t>
  </si>
  <si>
    <t>Minggu 8</t>
  </si>
  <si>
    <t>Minggu 9</t>
  </si>
  <si>
    <t>Minggu 10</t>
  </si>
  <si>
    <t>Minggu 11</t>
  </si>
  <si>
    <t>Minggu 12</t>
  </si>
  <si>
    <t>Minggu 13</t>
  </si>
  <si>
    <t>Minggu 14</t>
  </si>
  <si>
    <t>Minggu 15</t>
  </si>
  <si>
    <t>Minggu 16</t>
  </si>
  <si>
    <t>Minggu 17</t>
  </si>
  <si>
    <t>Minggu 18</t>
  </si>
  <si>
    <t>Minggu 19</t>
  </si>
  <si>
    <t>Minggu 20</t>
  </si>
  <si>
    <t>Minggu 21</t>
  </si>
  <si>
    <t>Minggu 22</t>
  </si>
  <si>
    <t>Minggu 23</t>
  </si>
  <si>
    <t>Minggu 24</t>
  </si>
  <si>
    <t>Minggu 25</t>
  </si>
  <si>
    <t>Minggu 26</t>
  </si>
  <si>
    <t>Minggu 27</t>
  </si>
  <si>
    <t>Minggu 28</t>
  </si>
  <si>
    <t>Minggu 29</t>
  </si>
  <si>
    <t>Minggu 30</t>
  </si>
  <si>
    <t>Minggu 31</t>
  </si>
  <si>
    <t>Minggu 32</t>
  </si>
  <si>
    <t>Minggu 33</t>
  </si>
  <si>
    <t>Minggu 34</t>
  </si>
  <si>
    <t>Minggu 35</t>
  </si>
  <si>
    <t>Minggu 36</t>
  </si>
  <si>
    <t>Minggu 37</t>
  </si>
  <si>
    <t>Minggu 38</t>
  </si>
  <si>
    <t>Minggu 39</t>
  </si>
  <si>
    <t>Minggu 40</t>
  </si>
  <si>
    <t>Minggu 41</t>
  </si>
  <si>
    <t>Minggu 42</t>
  </si>
  <si>
    <t>Minggu 43</t>
  </si>
  <si>
    <t>Minggu 44</t>
  </si>
  <si>
    <t>Minggu 45</t>
  </si>
  <si>
    <t>Minggu 46</t>
  </si>
  <si>
    <t>Minggu 47</t>
  </si>
  <si>
    <t>Minggu 48</t>
  </si>
  <si>
    <t>Minggu 49</t>
  </si>
  <si>
    <t>Minggu 50</t>
  </si>
  <si>
    <t>Minggu 51</t>
  </si>
  <si>
    <t>Minggu 52</t>
  </si>
  <si>
    <t>Minggu 53</t>
  </si>
  <si>
    <t>TOTAL SETAHUN</t>
  </si>
  <si>
    <t>REKAP PENJUALAN BULANAN</t>
  </si>
  <si>
    <t>Bulan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</si>
  <si>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</si>
  <si>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</si>
  <si>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</si>
  <si>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</si>
  <si>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</si>
  <si>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</si>
  <si>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</si>
  <si>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</si>
  <si>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</si>
  <si>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</si>
  <si>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</si>
  <si>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</si>
  <si>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BUKU KAS OPERASIONAL</t>
  </si>
  <si>
    <t>Uang masuk NON-jualan (modal, pendapatan lain) dan SEMUA pengeluaran usaha. Jualan tidak dicatat di sini.</t>
  </si>
  <si>
    <t>Keterangan</t>
  </si>
  <si>
    <t>Kategori</t>
  </si>
  <si>
    <t>Kas Masuk (Rp)</t>
  </si>
  <si>
    <t>Kas Keluar (Rp)</t>
  </si>
  <si>
    <t>Saldo (Rp)</t>
  </si>
  <si>
    <t>Saldo Awal Kas/Bank</t>
  </si>
  <si>
    <t>Modal</t>
  </si>
  <si>
    <t>Beli bahan baku singkong &amp; minyak</t>
  </si>
  <si>
    <t>Pembelian Bahan Baku</t>
  </si>
  <si>
    <t>Ongkos ojek antar barang ke warung</t>
  </si>
  <si>
    <t>Transport</t>
  </si>
  <si>
    <t>CATATAN HUTANG &amp; PIUTANG</t>
  </si>
  <si>
    <t>Piutang = uang yang akan diterima usaha. Hutang = uang yang harus dibayar usaha.</t>
  </si>
  <si>
    <t>Nama Pihak</t>
  </si>
  <si>
    <t>Jenis</t>
  </si>
  <si>
    <t>Jumlah (Rp)</t>
  </si>
  <si>
    <t>Status</t>
  </si>
  <si>
    <t>Tgl Lunas</t>
  </si>
  <si>
    <t>Toko Sumber Jaya</t>
  </si>
  <si>
    <t>Hutang</t>
  </si>
  <si>
    <t>Beli bahan baku, bayar 2 minggu lagi</t>
  </si>
  <si>
    <t>Belum Lunas</t>
  </si>
  <si>
    <t>Bu Rina (pelanggan)</t>
  </si>
  <si>
    <t>Piutang</t>
  </si>
  <si>
    <t>Ambil barang, bayar menyusul</t>
  </si>
  <si>
    <t>Total Piutang Belum Lunas</t>
  </si>
  <si>
    <t>Total Hutang Belum Lunas</t>
  </si>
  <si>
    <t>REKAP LABA RUGI BULANAN</t>
  </si>
  <si>
    <t>Gabungan otomatis dari Buku Penjualan + Buku Kas Operasional. Isi Tahun di sel kuning (B4).</t>
  </si>
  <si>
    <t>Total Penjualan (Rp)</t>
  </si>
  <si>
    <t>Pendapatan Lain (Rp)</t>
  </si>
  <si>
    <t>Pengeluaran Usaha (Rp)</t>
  </si>
  <si>
    <t>Prive/Pribadi (Rp)</t>
  </si>
  <si>
    <t>Laba/(Rugi) Usaha (Rp)</t>
  </si>
  <si>
    <t>Catatan: Laba/(Rugi) Usaha = Total Penjualan + Pendapatan Lain - Pengeluaran Usaha. Prive/Pribadi tidak dihitung sebagai biaya karena itu penarikan pribadi, bukan biaya operasional.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</si>
</sst>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\-"/>
  </numFmts>
  <fonts count="10" x14ac:knownFonts="1">
    <font>
      <sz val="11"/>
      <color theme="1"/>
      <name val="Calibri"/>
      <family val="2"/>
      <charset val="1"/>
    </font>
    <font>
      <b/>
      <sz val="16"/>
      <color rgb="FF2E5E4E"/>
      <name val="Arial"/>
      <charset val="1"/>
    </font>
    <font>
      <i/>
      <sz val="10"/>
      <color rgb="FF666666"/>
      <name val="Arial"/>
      <charset val="1"/>
    </font>
    <font>
      <sz val="11"/>
      <name val="Arial"/>
      <charset val="1"/>
    </font>
    <font>
      <b/>
      <sz val="12"/>
      <color rgb="FF2E5E4E"/>
      <name val="Arial"/>
      <charset val="1"/>
    </font>
    <font>
      <b/>
      <sz val="11.5"/>
      <color rgb="FF1A1A1A"/>
      <name val="Arial"/>
      <charset val="1"/>
    </font>
    <font>
      <b/>
      <sz val="16"/>
      <color rgb="FF2C5F8A"/>
      <name val="Arial"/>
      <charset val="1"/>
    </font>
    <font>
      <b/>
      <sz val="11"/>
      <color rgb="FFFFFFFF"/>
      <name val="Arial"/>
      <charset val="1"/>
    </font>
    <font>
      <b/>
      <sz val="11"/>
      <name val="Arial"/>
      <charset val="1"/>
    </font>
    <font>
      <b/>
      <sz val="16"/>
      <color rgb="FF3B3F45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2C5F8A"/>
        <bgColor rgb="FF2E5E4E"/>
      </patternFill>
    </fill>
    <fill>
      <patternFill patternType="solid">
        <fgColor rgb="FFE8F0FE"/>
        <bgColor rgb="FFD9E8E2"/>
      </patternFill>
    </fill>
    <fill>
      <patternFill patternType="solid">
        <fgColor rgb="FFFFF9C4"/>
        <bgColor rgb="FFFCEFD8"/>
      </patternFill>
    </fill>
    <fill>
      <patternFill patternType="solid">
        <fgColor rgb="FFD9E8E2"/>
        <bgColor rgb="FFE8F0FE"/>
      </patternFill>
    </fill>
    <fill>
      <patternFill patternType="solid">
        <fgColor rgb="FF2E5E4E"/>
        <bgColor rgb="FF2C5F8A"/>
      </patternFill>
    </fill>
    <fill>
      <patternFill patternType="solid">
        <fgColor rgb="FF3B3F45"/>
        <bgColor rgb="FF2E5E4E"/>
      </patternFill>
    </fill>
    <fill>
      <patternFill patternType="solid">
        <fgColor rgb="FFFCEFD8"/>
        <bgColor rgb="FFFFF9C4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14" fontId="3" fillId="4" borderId="1" xfId="0" applyNumberFormat="1" applyFont="1" applyFill="1" applyBorder="1"/>
    <xf numFmtId="0" fontId="3" fillId="4" borderId="1" xfId="0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8" fillId="5" borderId="1" xfId="0" applyFont="1" applyFill="1" applyBorder="1"/>
    <xf numFmtId="164" fontId="8" fillId="5" borderId="1" xfId="0" applyNumberFormat="1" applyFont="1" applyFill="1" applyBorder="1"/>
    <xf numFmtId="0" fontId="3" fillId="3" borderId="0" xfId="0" applyFont="1" applyFill="1"/>
    <xf numFmtId="0" fontId="3" fillId="4" borderId="0" xfId="0" applyFont="1" applyFill="1"/>
    <xf numFmtId="0" fontId="8" fillId="0" borderId="0" xfId="0" applyFont="1"/>
    <xf numFmtId="1" fontId="8" fillId="4" borderId="1" xfId="0" applyNumberFormat="1" applyFont="1" applyFill="1" applyBorder="1"/>
    <xf numFmtId="0" fontId="3" fillId="0" borderId="1" xfId="0" applyFont="1" applyBorder="1"/>
    <xf numFmtId="14" fontId="3" fillId="0" borderId="1" xfId="0" applyNumberFormat="1" applyFont="1" applyBorder="1"/>
    <xf numFmtId="0" fontId="7" fillId="6" borderId="1" xfId="0" applyFont="1" applyFill="1" applyBorder="1" applyAlignment="1">
      <alignment horizontal="center" vertical="center" wrapText="1"/>
    </xf>
    <xf numFmtId="0" fontId="8" fillId="5" borderId="0" xfId="0" applyFont="1" applyFill="1"/>
    <xf numFmtId="164" fontId="8" fillId="5" borderId="0" xfId="0" applyNumberFormat="1" applyFont="1" applyFill="1"/>
    <xf numFmtId="0" fontId="9" fillId="0" borderId="0" xfId="0" applyFont="1"/>
    <xf numFmtId="0" fontId="7" fillId="7" borderId="1" xfId="0" applyFont="1" applyFill="1" applyBorder="1" applyAlignment="1">
      <alignment horizontal="center" vertical="center" wrapText="1"/>
    </xf>
    <xf numFmtId="164" fontId="8" fillId="8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5E4E"/>
      <rgbColor rgb="FFB0B0B0"/>
      <rgbColor rgb="FF808080"/>
      <rgbColor rgb="FF9999FF"/>
      <rgbColor rgb="FF993366"/>
      <rgbColor rgb="FFFFF9C4"/>
      <rgbColor rgb="FFE8F0FE"/>
      <rgbColor rgb="FF660066"/>
      <rgbColor rgb="FFFF8080"/>
      <rgbColor rgb="FF2C5F8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8E2"/>
      <rgbColor rgb="FFFCEFD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3B3F4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calcChain" Target="calcChain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9"/>
  <sheetViews>
    <sheetView showGridLines="0" tabSelected="1" zoomScaleNormal="100" workbookViewId="0"/>
  </sheetViews>
  <sheetFormatPr defaultColWidth="8.7421875" defaultRowHeight="15" x14ac:dyDescent="0.2"/>
  <cols>
    <col min="1" max="1" width="2.95703125" customWidth="1"/>
    <col min="2" max="2" width="97.93359375" customWidth="1"/>
  </cols>
  <sheetData>
    <row r="2" spans="2:2" ht="20.25" x14ac:dyDescent="0.25">
      <c r="B2" s="2" t="s">
        <v>0</v>
      </c>
    </row>
    <row r="3" spans="2:2" x14ac:dyDescent="0.2">
      <c r="B3" s="3" t="s">
        <v>1</v>
      </c>
    </row>
    <row r="5" spans="2:2" ht="7.5" customHeight="1" x14ac:dyDescent="0.2">
      <c r="B5" s="4"/>
    </row>
    <row r="6" spans="2:2" ht="30" customHeight="1" x14ac:dyDescent="0.2">
      <c r="B6" s="5" t="s">
        <v>2</v>
      </c>
    </row>
    <row r="7" spans="2:2" ht="30" customHeight="1" x14ac:dyDescent="0.2">
      <c r="B7" s="6" t="s">
        <v>3</v>
      </c>
    </row>
    <row r="8" spans="2:2" ht="30" customHeight="1" x14ac:dyDescent="0.2">
      <c r="B8" s="4" t="s">
        <v>4</v>
      </c>
    </row>
    <row r="9" spans="2:2" ht="30" customHeight="1" x14ac:dyDescent="0.2">
      <c r="B9" s="6" t="s">
        <v>5</v>
      </c>
    </row>
    <row r="10" spans="2:2" ht="30" customHeight="1" x14ac:dyDescent="0.2">
      <c r="B10" s="4" t="s">
        <v>6</v>
      </c>
    </row>
    <row r="11" spans="2:2" ht="30" customHeight="1" x14ac:dyDescent="0.2">
      <c r="B11" s="6" t="s">
        <v>7</v>
      </c>
    </row>
    <row r="12" spans="2:2" ht="30" customHeight="1" x14ac:dyDescent="0.2">
      <c r="B12" s="4" t="s">
        <v>8</v>
      </c>
    </row>
    <row r="13" spans="2:2" ht="30" customHeight="1" x14ac:dyDescent="0.2">
      <c r="B13" s="6" t="s">
        <v>9</v>
      </c>
    </row>
    <row r="14" spans="2:2" ht="30" customHeight="1" x14ac:dyDescent="0.2">
      <c r="B14" s="4" t="s">
        <v>10</v>
      </c>
    </row>
    <row r="15" spans="2:2" ht="30" customHeight="1" x14ac:dyDescent="0.2">
      <c r="B15" s="6" t="s">
        <v>11</v>
      </c>
    </row>
    <row r="16" spans="2:2" ht="30" customHeight="1" x14ac:dyDescent="0.2">
      <c r="B16" s="4" t="s">
        <v>12</v>
      </c>
    </row>
    <row r="17" spans="2:2" ht="30" customHeight="1" x14ac:dyDescent="0.2">
      <c r="B17" s="6" t="s">
        <v>13</v>
      </c>
    </row>
    <row r="18" spans="2:2" ht="30" customHeight="1" x14ac:dyDescent="0.2">
      <c r="B18" s="4" t="s">
        <v>14</v>
      </c>
    </row>
    <row r="19" spans="2:2" ht="7.5" customHeight="1" x14ac:dyDescent="0.2">
      <c r="B19" s="4"/>
    </row>
    <row r="20" spans="2:2" ht="30" customHeight="1" x14ac:dyDescent="0.2">
      <c r="B20" s="5" t="s">
        <v>15</v>
      </c>
    </row>
    <row r="21" spans="2:2" ht="30" customHeight="1" x14ac:dyDescent="0.2">
      <c r="B21" s="4" t="s">
        <v>16</v>
      </c>
    </row>
    <row r="22" spans="2:2" ht="30" customHeight="1" x14ac:dyDescent="0.2">
      <c r="B22" s="4" t="s">
        <v>17</v>
      </c>
    </row>
    <row r="23" spans="2:2" ht="30" customHeight="1" x14ac:dyDescent="0.2">
      <c r="B23" s="4" t="s">
        <v>18</v>
      </c>
    </row>
    <row r="24" spans="2:2" ht="7.5" customHeight="1" x14ac:dyDescent="0.2">
      <c r="B24" s="4"/>
    </row>
    <row r="25" spans="2:2" ht="30" customHeight="1" x14ac:dyDescent="0.2">
      <c r="B25" s="5" t="s">
        <v>19</v>
      </c>
    </row>
    <row r="26" spans="2:2" ht="30" customHeight="1" x14ac:dyDescent="0.2">
      <c r="B26" s="4" t="s">
        <v>20</v>
      </c>
    </row>
    <row r="27" spans="2:2" ht="30" customHeight="1" x14ac:dyDescent="0.2">
      <c r="B27" s="4" t="s">
        <v>21</v>
      </c>
    </row>
    <row r="28" spans="2:2" ht="30" customHeight="1" x14ac:dyDescent="0.2">
      <c r="B28" s="4" t="s">
        <v>22</v>
      </c>
    </row>
    <row r="29" spans="2:2" ht="30" customHeight="1" x14ac:dyDescent="0.2">
      <c r="B29" s="4" t="s">
        <v>23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421875" defaultRowHeight="15" x14ac:dyDescent="0.2"/>
  <cols>
    <col min="1" max="1" width="13.046875" customWidth="1"/>
    <col min="2" max="2" width="25.9609375" customWidth="1"/>
    <col min="3" max="3" width="9.953125" customWidth="1"/>
    <col min="4" max="5" width="16.0078125" customWidth="1"/>
  </cols>
  <sheetData>
    <row r="1" spans="1:5" ht="20.25" x14ac:dyDescent="0.25">
      <c r="A1" s="7" t="s">
        <v>24</v>
      </c>
    </row>
    <row r="2" spans="1:5" x14ac:dyDescent="0.2">
      <c r="A2" s="3" t="s">
        <v>25</v>
      </c>
    </row>
    <row r="4" spans="1:5" ht="30" customHeight="1" x14ac:dyDescent="0.2">
      <c r="A4" s="8" t="s">
        <v>26</v>
      </c>
      <c r="B4" s="8" t="s">
        <v>27</v>
      </c>
      <c r="C4" s="8" t="s">
        <v>28</v>
      </c>
      <c r="D4" s="8" t="s">
        <v>29</v>
      </c>
      <c r="E4" s="8" t="s">
        <v>30</v>
      </c>
    </row>
    <row r="5" spans="1:5" x14ac:dyDescent="0.2">
      <c r="A5" s="9">
        <v>46027</v>
      </c>
      <c r="B5" s="10" t="s">
        <v>31</v>
      </c>
      <c r="C5" s="10">
        <v>10</v>
      </c>
      <c r="D5" s="11">
        <v>15000</v>
      </c>
      <c r="E5" s="11">
        <f>C5*D5</f>
        <v>150000</v>
      </c>
    </row>
    <row r="6" spans="1:5" x14ac:dyDescent="0.2">
      <c r="A6" s="9">
        <v>46034</v>
      </c>
      <c r="B6" s="10" t="s">
        <v>31</v>
      </c>
      <c r="C6" s="10">
        <v>8</v>
      </c>
      <c r="D6" s="11">
        <v>15000</v>
      </c>
      <c r="E6" s="11">
        <f>C6*D6</f>
        <v>120000</v>
      </c>
    </row>
    <row r="7" spans="1:5" x14ac:dyDescent="0.2">
      <c r="A7" s="9">
        <v>46056</v>
      </c>
      <c r="B7" s="10" t="s">
        <v>32</v>
      </c>
      <c r="C7" s="10">
        <v>12</v>
      </c>
      <c r="D7" s="11">
        <v>17000</v>
      </c>
      <c r="E7" s="11">
        <f>C7*D7</f>
        <v>204000</v>
      </c>
    </row>
    <row r="8" spans="1:5" x14ac:dyDescent="0.2">
      <c r="A8" s="12"/>
      <c r="B8" s="13"/>
      <c r="C8" s="13"/>
      <c r="D8" s="14"/>
      <c r="E8" s="15">
        <f>C8*D8</f>
        <v>0</v>
      </c>
    </row>
    <row r="9" spans="1:5" x14ac:dyDescent="0.2">
      <c r="A9" s="12"/>
      <c r="B9" s="13"/>
      <c r="C9" s="13"/>
      <c r="D9" s="14"/>
      <c r="E9" s="15">
        <f>C9*D9</f>
        <v>0</v>
      </c>
    </row>
    <row r="10" spans="1:5" x14ac:dyDescent="0.2">
      <c r="A10" s="12"/>
      <c r="B10" s="13"/>
      <c r="C10" s="13"/>
      <c r="D10" s="14"/>
      <c r="E10" s="15">
        <f>C10*D10</f>
        <v>0</v>
      </c>
    </row>
    <row r="11" spans="1:5" x14ac:dyDescent="0.2">
      <c r="A11" s="12"/>
      <c r="B11" s="13"/>
      <c r="C11" s="13"/>
      <c r="D11" s="14"/>
      <c r="E11" s="15">
        <f>C11*D11</f>
        <v>0</v>
      </c>
    </row>
    <row r="12" spans="1:5" x14ac:dyDescent="0.2">
      <c r="A12" s="12"/>
      <c r="B12" s="13"/>
      <c r="C12" s="13"/>
      <c r="D12" s="14"/>
      <c r="E12" s="15">
        <f>C12*D12</f>
        <v>0</v>
      </c>
    </row>
    <row r="13" spans="1:5" x14ac:dyDescent="0.2">
      <c r="A13" s="12"/>
      <c r="B13" s="13"/>
      <c r="C13" s="13"/>
      <c r="D13" s="14"/>
      <c r="E13" s="15">
        <f>C13*D13</f>
        <v>0</v>
      </c>
    </row>
    <row r="14" spans="1:5" x14ac:dyDescent="0.2">
      <c r="A14" s="12"/>
      <c r="B14" s="13"/>
      <c r="C14" s="13"/>
      <c r="D14" s="14"/>
      <c r="E14" s="15">
        <f>C14*D14</f>
        <v>0</v>
      </c>
    </row>
    <row r="15" spans="1:5" x14ac:dyDescent="0.2">
      <c r="A15" s="12"/>
      <c r="B15" s="13"/>
      <c r="C15" s="13"/>
      <c r="D15" s="14"/>
      <c r="E15" s="15">
        <f>C15*D15</f>
        <v>0</v>
      </c>
    </row>
    <row r="16" spans="1:5" x14ac:dyDescent="0.2">
      <c r="A16" s="12"/>
      <c r="B16" s="13"/>
      <c r="C16" s="13"/>
      <c r="D16" s="14"/>
      <c r="E16" s="15">
        <f>C16*D16</f>
        <v>0</v>
      </c>
    </row>
    <row r="17" spans="1:5" x14ac:dyDescent="0.2">
      <c r="A17" s="12"/>
      <c r="B17" s="13"/>
      <c r="C17" s="13"/>
      <c r="D17" s="14"/>
      <c r="E17" s="15">
        <f>C17*D17</f>
        <v>0</v>
      </c>
    </row>
    <row r="18" spans="1:5" x14ac:dyDescent="0.2">
      <c r="A18" s="12"/>
      <c r="B18" s="13"/>
      <c r="C18" s="13"/>
      <c r="D18" s="14"/>
      <c r="E18" s="15">
        <f>C18*D18</f>
        <v>0</v>
      </c>
    </row>
    <row r="19" spans="1:5" x14ac:dyDescent="0.2">
      <c r="A19" s="12"/>
      <c r="B19" s="13"/>
      <c r="C19" s="13"/>
      <c r="D19" s="14"/>
      <c r="E19" s="15">
        <f>C19*D19</f>
        <v>0</v>
      </c>
    </row>
    <row r="20" spans="1:5" x14ac:dyDescent="0.2">
      <c r="A20" s="12"/>
      <c r="B20" s="13"/>
      <c r="C20" s="13"/>
      <c r="D20" s="14"/>
      <c r="E20" s="15">
        <f>C20*D20</f>
        <v>0</v>
      </c>
    </row>
    <row r="21" spans="1:5" x14ac:dyDescent="0.2">
      <c r="A21" s="12"/>
      <c r="B21" s="13"/>
      <c r="C21" s="13"/>
      <c r="D21" s="14"/>
      <c r="E21" s="15">
        <f>C21*D21</f>
        <v>0</v>
      </c>
    </row>
    <row r="22" spans="1:5" x14ac:dyDescent="0.2">
      <c r="A22" s="12"/>
      <c r="B22" s="13"/>
      <c r="C22" s="13"/>
      <c r="D22" s="14"/>
      <c r="E22" s="15">
        <f>C22*D22</f>
        <v>0</v>
      </c>
    </row>
    <row r="23" spans="1:5" x14ac:dyDescent="0.2">
      <c r="A23" s="12"/>
      <c r="B23" s="13"/>
      <c r="C23" s="13"/>
      <c r="D23" s="14"/>
      <c r="E23" s="15">
        <f>C23*D23</f>
        <v>0</v>
      </c>
    </row>
    <row r="24" spans="1:5" x14ac:dyDescent="0.2">
      <c r="A24" s="12"/>
      <c r="B24" s="13"/>
      <c r="C24" s="13"/>
      <c r="D24" s="14"/>
      <c r="E24" s="15">
        <f>C24*D24</f>
        <v>0</v>
      </c>
    </row>
    <row r="25" spans="1:5" x14ac:dyDescent="0.2">
      <c r="A25" s="12"/>
      <c r="B25" s="13"/>
      <c r="C25" s="13"/>
      <c r="D25" s="14"/>
      <c r="E25" s="15">
        <f>C25*D25</f>
        <v>0</v>
      </c>
    </row>
    <row r="26" spans="1:5" x14ac:dyDescent="0.2">
      <c r="A26" s="12"/>
      <c r="B26" s="13"/>
      <c r="C26" s="13"/>
      <c r="D26" s="14"/>
      <c r="E26" s="15">
        <f>C26*D26</f>
        <v>0</v>
      </c>
    </row>
    <row r="27" spans="1:5" x14ac:dyDescent="0.2">
      <c r="A27" s="12"/>
      <c r="B27" s="13"/>
      <c r="C27" s="13"/>
      <c r="D27" s="14"/>
      <c r="E27" s="15">
        <f>C27*D27</f>
        <v>0</v>
      </c>
    </row>
    <row r="28" spans="1:5" x14ac:dyDescent="0.2">
      <c r="A28" s="12"/>
      <c r="B28" s="13"/>
      <c r="C28" s="13"/>
      <c r="D28" s="14"/>
      <c r="E28" s="15">
        <f>C28*D28</f>
        <v>0</v>
      </c>
    </row>
    <row r="29" spans="1:5" x14ac:dyDescent="0.2">
      <c r="A29" s="12"/>
      <c r="B29" s="13"/>
      <c r="C29" s="13"/>
      <c r="D29" s="14"/>
      <c r="E29" s="15">
        <f>C29*D29</f>
        <v>0</v>
      </c>
    </row>
    <row r="30" spans="1:5" x14ac:dyDescent="0.2">
      <c r="A30" s="12"/>
      <c r="B30" s="13"/>
      <c r="C30" s="13"/>
      <c r="D30" s="14"/>
      <c r="E30" s="15">
        <f>C30*D30</f>
        <v>0</v>
      </c>
    </row>
    <row r="31" spans="1:5" x14ac:dyDescent="0.2">
      <c r="A31" s="12"/>
      <c r="B31" s="13"/>
      <c r="C31" s="13"/>
      <c r="D31" s="14"/>
      <c r="E31" s="15">
        <f>C31*D31</f>
        <v>0</v>
      </c>
    </row>
    <row r="32" spans="1:5" x14ac:dyDescent="0.2">
      <c r="A32" s="12"/>
      <c r="B32" s="13"/>
      <c r="C32" s="13"/>
      <c r="D32" s="14"/>
      <c r="E32" s="15">
        <f>C32*D32</f>
        <v>0</v>
      </c>
    </row>
    <row r="33" spans="1:5" x14ac:dyDescent="0.2">
      <c r="A33" s="12"/>
      <c r="B33" s="13"/>
      <c r="C33" s="13"/>
      <c r="D33" s="14"/>
      <c r="E33" s="15">
        <f>C33*D33</f>
        <v>0</v>
      </c>
    </row>
    <row r="34" spans="1:5" x14ac:dyDescent="0.2">
      <c r="A34" s="12"/>
      <c r="B34" s="13"/>
      <c r="C34" s="13"/>
      <c r="D34" s="14"/>
      <c r="E34" s="15">
        <f>C34*D34</f>
        <v>0</v>
      </c>
    </row>
    <row r="35" spans="1:5" x14ac:dyDescent="0.2">
      <c r="A35" s="12"/>
      <c r="B35" s="13"/>
      <c r="C35" s="13"/>
      <c r="D35" s="14"/>
      <c r="E35" s="15">
        <f>C35*D35</f>
        <v>0</v>
      </c>
    </row>
    <row r="36" spans="1:5" x14ac:dyDescent="0.2">
      <c r="A36" s="12"/>
      <c r="B36" s="13"/>
      <c r="C36" s="13"/>
      <c r="D36" s="14"/>
      <c r="E36" s="15">
        <f>C36*D36</f>
        <v>0</v>
      </c>
    </row>
    <row r="37" spans="1:5" x14ac:dyDescent="0.2">
      <c r="A37" s="12"/>
      <c r="B37" s="13"/>
      <c r="C37" s="13"/>
      <c r="D37" s="14"/>
      <c r="E37" s="15">
        <f>C37*D37</f>
        <v>0</v>
      </c>
    </row>
    <row r="38" spans="1:5" x14ac:dyDescent="0.2">
      <c r="A38" s="12"/>
      <c r="B38" s="13"/>
      <c r="C38" s="13"/>
      <c r="D38" s="14"/>
      <c r="E38" s="15">
        <f>C38*D38</f>
        <v>0</v>
      </c>
    </row>
    <row r="39" spans="1:5" x14ac:dyDescent="0.2">
      <c r="A39" s="12"/>
      <c r="B39" s="13"/>
      <c r="C39" s="13"/>
      <c r="D39" s="14"/>
      <c r="E39" s="15">
        <f>C39*D39</f>
        <v>0</v>
      </c>
    </row>
    <row r="40" spans="1:5" x14ac:dyDescent="0.2">
      <c r="A40" s="12"/>
      <c r="B40" s="13"/>
      <c r="C40" s="13"/>
      <c r="D40" s="14"/>
      <c r="E40" s="15">
        <f>C40*D40</f>
        <v>0</v>
      </c>
    </row>
    <row r="41" spans="1:5" x14ac:dyDescent="0.2">
      <c r="A41" s="12"/>
      <c r="B41" s="13"/>
      <c r="C41" s="13"/>
      <c r="D41" s="14"/>
      <c r="E41" s="15">
        <f>C41*D41</f>
        <v>0</v>
      </c>
    </row>
    <row r="42" spans="1:5" x14ac:dyDescent="0.2">
      <c r="A42" s="12"/>
      <c r="B42" s="13"/>
      <c r="C42" s="13"/>
      <c r="D42" s="14"/>
      <c r="E42" s="15">
        <f>C42*D42</f>
        <v>0</v>
      </c>
    </row>
    <row r="43" spans="1:5" x14ac:dyDescent="0.2">
      <c r="A43" s="12"/>
      <c r="B43" s="13"/>
      <c r="C43" s="13"/>
      <c r="D43" s="14"/>
      <c r="E43" s="15">
        <f>C43*D43</f>
        <v>0</v>
      </c>
    </row>
    <row r="44" spans="1:5" x14ac:dyDescent="0.2">
      <c r="A44" s="12"/>
      <c r="B44" s="13"/>
      <c r="C44" s="13"/>
      <c r="D44" s="14"/>
      <c r="E44" s="15">
        <f>C44*D44</f>
        <v>0</v>
      </c>
    </row>
    <row r="45" spans="1:5" x14ac:dyDescent="0.2">
      <c r="A45" s="12"/>
      <c r="B45" s="13"/>
      <c r="C45" s="13"/>
      <c r="D45" s="14"/>
      <c r="E45" s="15">
        <f>C45*D45</f>
        <v>0</v>
      </c>
    </row>
    <row r="46" spans="1:5" x14ac:dyDescent="0.2">
      <c r="A46" s="12"/>
      <c r="B46" s="13"/>
      <c r="C46" s="13"/>
      <c r="D46" s="14"/>
      <c r="E46" s="15">
        <f>C46*D46</f>
        <v>0</v>
      </c>
    </row>
    <row r="47" spans="1:5" x14ac:dyDescent="0.2">
      <c r="A47" s="12"/>
      <c r="B47" s="13"/>
      <c r="C47" s="13"/>
      <c r="D47" s="14"/>
      <c r="E47" s="15">
        <f>C47*D47</f>
        <v>0</v>
      </c>
    </row>
    <row r="48" spans="1:5" x14ac:dyDescent="0.2">
      <c r="A48" s="12"/>
      <c r="B48" s="13"/>
      <c r="C48" s="13"/>
      <c r="D48" s="14"/>
      <c r="E48" s="15">
        <f>C48*D48</f>
        <v>0</v>
      </c>
    </row>
    <row r="49" spans="1:5" x14ac:dyDescent="0.2">
      <c r="A49" s="12"/>
      <c r="B49" s="13"/>
      <c r="C49" s="13"/>
      <c r="D49" s="14"/>
      <c r="E49" s="15">
        <f>C49*D49</f>
        <v>0</v>
      </c>
    </row>
    <row r="50" spans="1:5" x14ac:dyDescent="0.2">
      <c r="A50" s="16"/>
      <c r="B50" s="16" t="s">
        <v>33</v>
      </c>
      <c r="C50" s="17">
        <f>SUM(C5:C49)</f>
        <v>30</v>
      </c>
      <c r="D50" s="17"/>
      <c r="E50" s="17">
        <f>SUM(E5:E49)</f>
        <v>474000</v>
      </c>
    </row>
    <row r="52" spans="1:5" x14ac:dyDescent="0.2">
      <c r="A52" s="18" t="s">
        <v>34</v>
      </c>
    </row>
    <row r="53" spans="1:5" x14ac:dyDescent="0.2">
      <c r="A53" s="19" t="s">
        <v>35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1"/>
  <sheetViews>
    <sheetView showGridLines="0" zoomScaleNormal="100" workbookViewId="0">
      <pane ySplit="7" topLeftCell="A8" activePane="bottomLeft" state="frozen"/>
      <selection pane="bottomLeft"/>
    </sheetView>
  </sheetViews>
  <sheetFormatPr defaultColWidth="8.7421875" defaultRowHeight="15" x14ac:dyDescent="0.2"/>
  <cols>
    <col min="1" max="1" width="11.97265625" customWidth="1"/>
    <col min="2" max="3" width="14.9296875" customWidth="1"/>
    <col min="4" max="4" width="16.0078125" customWidth="1"/>
    <col min="5" max="5" width="18.0234375" customWidth="1"/>
  </cols>
  <sheetData>
    <row r="1" spans="1:5" ht="20.25" x14ac:dyDescent="0.25">
      <c r="A1" s="7" t="s">
        <v>36</v>
      </c>
    </row>
    <row r="2" spans="1:5" x14ac:dyDescent="0.2">
      <c r="A2" s="3" t="s">
        <v>37</v>
      </c>
    </row>
    <row r="4" spans="1:5" x14ac:dyDescent="0.2">
      <c r="A4" s="20" t="s">
        <v>38</v>
      </c>
      <c r="B4" s="21">
        <v>2026</v>
      </c>
    </row>
    <row r="5" spans="1:5" x14ac:dyDescent="0.2">
      <c r="A5" s="3" t="s">
        <v>39</v>
      </c>
    </row>
    <row r="7" spans="1:5" ht="30" customHeight="1" x14ac:dyDescent="0.2">
      <c r="A7" s="8" t="s">
        <v>40</v>
      </c>
      <c r="B7" s="8" t="s">
        <v>41</v>
      </c>
      <c r="C7" s="8" t="s">
        <v>42</v>
      </c>
      <c r="D7" s="8" t="s">
        <v>43</v>
      </c>
      <c r="E7" s="8" t="s">
        <v>44</v>
      </c>
    </row>
    <row r="8" spans="1:5" x14ac:dyDescent="0.2">
      <c r="A8" s="22" t="s">
        <v>45</v>
      </c>
      <c r="B8" s="23">
        <f>DATE($B$4,1,4)-WEEKDAY(DATE($B$4,1,4),3)+(1-1)*7</f>
        <v>46020</v>
      </c>
      <c r="C8" s="23">
        <f>B8+6</f>
        <v>46026</v>
      </c>
      <c r="D8" s="15" t="e">
        <f>SUMPRODUCT((YEAR('Buku Penjualan'!$A$5:$A$49)=$B$4)*(WEEKNUM('Buku Penjualan'!$A$5:$A$49,2)=1)*'Buku Penjualan'!$C$5:$C$49)</f>
        <v>#VALUE!</v>
      </c>
      <c r="E8" s="15" t="e">
        <f>SUMPRODUCT((YEAR('Buku Penjualan'!$A$5:$A$49)=$B$4)*(WEEKNUM('Buku Penjualan'!$A$5:$A$49,2)=1)*'Buku Penjualan'!$E$5:$E$49)</f>
        <v>#VALUE!</v>
      </c>
    </row>
    <row r="9" spans="1:5" x14ac:dyDescent="0.2">
      <c r="A9" s="22" t="s">
        <v>46</v>
      </c>
      <c r="B9" s="23">
        <f>DATE($B$4,1,4)-WEEKDAY(DATE($B$4,1,4),3)+(2-1)*7</f>
        <v>46027</v>
      </c>
      <c r="C9" s="23">
        <f>B9+6</f>
        <v>46033</v>
      </c>
      <c r="D9" s="15" t="e">
        <f>SUMPRODUCT((YEAR('Buku Penjualan'!$A$5:$A$49)=$B$4)*(WEEKNUM('Buku Penjualan'!$A$5:$A$49,2)=2)*'Buku Penjualan'!$C$5:$C$49)</f>
        <v>#VALUE!</v>
      </c>
      <c r="E9" s="15" t="e">
        <f>SUMPRODUCT((YEAR('Buku Penjualan'!$A$5:$A$49)=$B$4)*(WEEKNUM('Buku Penjualan'!$A$5:$A$49,2)=2)*'Buku Penjualan'!$E$5:$E$49)</f>
        <v>#VALUE!</v>
      </c>
    </row>
    <row r="10" spans="1:5" x14ac:dyDescent="0.2">
      <c r="A10" s="22" t="s">
        <v>47</v>
      </c>
      <c r="B10" s="23">
        <f>DATE($B$4,1,4)-WEEKDAY(DATE($B$4,1,4),3)+(3-1)*7</f>
        <v>46034</v>
      </c>
      <c r="C10" s="23">
        <f>B10+6</f>
        <v>46040</v>
      </c>
      <c r="D10" s="15" t="e">
        <f>SUMPRODUCT((YEAR('Buku Penjualan'!$A$5:$A$49)=$B$4)*(WEEKNUM('Buku Penjualan'!$A$5:$A$49,2)=3)*'Buku Penjualan'!$C$5:$C$49)</f>
        <v>#VALUE!</v>
      </c>
      <c r="E10" s="15" t="e">
        <f>SUMPRODUCT((YEAR('Buku Penjualan'!$A$5:$A$49)=$B$4)*(WEEKNUM('Buku Penjualan'!$A$5:$A$49,2)=3)*'Buku Penjualan'!$E$5:$E$49)</f>
        <v>#VALUE!</v>
      </c>
    </row>
    <row r="11" spans="1:5" x14ac:dyDescent="0.2">
      <c r="A11" s="22" t="s">
        <v>48</v>
      </c>
      <c r="B11" s="23">
        <f>DATE($B$4,1,4)-WEEKDAY(DATE($B$4,1,4),3)+(4-1)*7</f>
        <v>46041</v>
      </c>
      <c r="C11" s="23">
        <f>B11+6</f>
        <v>46047</v>
      </c>
      <c r="D11" s="15" t="e">
        <f>SUMPRODUCT((YEAR('Buku Penjualan'!$A$5:$A$49)=$B$4)*(WEEKNUM('Buku Penjualan'!$A$5:$A$49,2)=4)*'Buku Penjualan'!$C$5:$C$49)</f>
        <v>#VALUE!</v>
      </c>
      <c r="E11" s="15" t="e">
        <f>SUMPRODUCT((YEAR('Buku Penjualan'!$A$5:$A$49)=$B$4)*(WEEKNUM('Buku Penjualan'!$A$5:$A$49,2)=4)*'Buku Penjualan'!$E$5:$E$49)</f>
        <v>#VALUE!</v>
      </c>
    </row>
    <row r="12" spans="1:5" x14ac:dyDescent="0.2">
      <c r="A12" s="22" t="s">
        <v>49</v>
      </c>
      <c r="B12" s="23">
        <f>DATE($B$4,1,4)-WEEKDAY(DATE($B$4,1,4),3)+(5-1)*7</f>
        <v>46048</v>
      </c>
      <c r="C12" s="23">
        <f>B12+6</f>
        <v>46054</v>
      </c>
      <c r="D12" s="15" t="e">
        <f>SUMPRODUCT((YEAR('Buku Penjualan'!$A$5:$A$49)=$B$4)*(WEEKNUM('Buku Penjualan'!$A$5:$A$49,2)=5)*'Buku Penjualan'!$C$5:$C$49)</f>
        <v>#VALUE!</v>
      </c>
      <c r="E12" s="15" t="e">
        <f>SUMPRODUCT((YEAR('Buku Penjualan'!$A$5:$A$49)=$B$4)*(WEEKNUM('Buku Penjualan'!$A$5:$A$49,2)=5)*'Buku Penjualan'!$E$5:$E$49)</f>
        <v>#VALUE!</v>
      </c>
    </row>
    <row r="13" spans="1:5" x14ac:dyDescent="0.2">
      <c r="A13" s="22" t="s">
        <v>50</v>
      </c>
      <c r="B13" s="23">
        <f>DATE($B$4,1,4)-WEEKDAY(DATE($B$4,1,4),3)+(6-1)*7</f>
        <v>46055</v>
      </c>
      <c r="C13" s="23">
        <f>B13+6</f>
        <v>46061</v>
      </c>
      <c r="D13" s="15" t="e">
        <f>SUMPRODUCT((YEAR('Buku Penjualan'!$A$5:$A$49)=$B$4)*(WEEKNUM('Buku Penjualan'!$A$5:$A$49,2)=6)*'Buku Penjualan'!$C$5:$C$49)</f>
        <v>#VALUE!</v>
      </c>
      <c r="E13" s="15" t="e">
        <f>SUMPRODUCT((YEAR('Buku Penjualan'!$A$5:$A$49)=$B$4)*(WEEKNUM('Buku Penjualan'!$A$5:$A$49,2)=6)*'Buku Penjualan'!$E$5:$E$49)</f>
        <v>#VALUE!</v>
      </c>
    </row>
    <row r="14" spans="1:5" x14ac:dyDescent="0.2">
      <c r="A14" s="22" t="s">
        <v>51</v>
      </c>
      <c r="B14" s="23">
        <f>DATE($B$4,1,4)-WEEKDAY(DATE($B$4,1,4),3)+(7-1)*7</f>
        <v>46062</v>
      </c>
      <c r="C14" s="23">
        <f>B14+6</f>
        <v>46068</v>
      </c>
      <c r="D14" s="15" t="e">
        <f>SUMPRODUCT((YEAR('Buku Penjualan'!$A$5:$A$49)=$B$4)*(WEEKNUM('Buku Penjualan'!$A$5:$A$49,2)=7)*'Buku Penjualan'!$C$5:$C$49)</f>
        <v>#VALUE!</v>
      </c>
      <c r="E14" s="15" t="e">
        <f>SUMPRODUCT((YEAR('Buku Penjualan'!$A$5:$A$49)=$B$4)*(WEEKNUM('Buku Penjualan'!$A$5:$A$49,2)=7)*'Buku Penjualan'!$E$5:$E$49)</f>
        <v>#VALUE!</v>
      </c>
    </row>
    <row r="15" spans="1:5" x14ac:dyDescent="0.2">
      <c r="A15" s="22" t="s">
        <v>52</v>
      </c>
      <c r="B15" s="23">
        <f>DATE($B$4,1,4)-WEEKDAY(DATE($B$4,1,4),3)+(8-1)*7</f>
        <v>46069</v>
      </c>
      <c r="C15" s="23">
        <f>B15+6</f>
        <v>46075</v>
      </c>
      <c r="D15" s="15" t="e">
        <f>SUMPRODUCT((YEAR('Buku Penjualan'!$A$5:$A$49)=$B$4)*(WEEKNUM('Buku Penjualan'!$A$5:$A$49,2)=8)*'Buku Penjualan'!$C$5:$C$49)</f>
        <v>#VALUE!</v>
      </c>
      <c r="E15" s="15" t="e">
        <f>SUMPRODUCT((YEAR('Buku Penjualan'!$A$5:$A$49)=$B$4)*(WEEKNUM('Buku Penjualan'!$A$5:$A$49,2)=8)*'Buku Penjualan'!$E$5:$E$49)</f>
        <v>#VALUE!</v>
      </c>
    </row>
    <row r="16" spans="1:5" x14ac:dyDescent="0.2">
      <c r="A16" s="22" t="s">
        <v>53</v>
      </c>
      <c r="B16" s="23">
        <f>DATE($B$4,1,4)-WEEKDAY(DATE($B$4,1,4),3)+(9-1)*7</f>
        <v>46076</v>
      </c>
      <c r="C16" s="23">
        <f>B16+6</f>
        <v>46082</v>
      </c>
      <c r="D16" s="15" t="e">
        <f>SUMPRODUCT((YEAR('Buku Penjualan'!$A$5:$A$49)=$B$4)*(WEEKNUM('Buku Penjualan'!$A$5:$A$49,2)=9)*'Buku Penjualan'!$C$5:$C$49)</f>
        <v>#VALUE!</v>
      </c>
      <c r="E16" s="15" t="e">
        <f>SUMPRODUCT((YEAR('Buku Penjualan'!$A$5:$A$49)=$B$4)*(WEEKNUM('Buku Penjualan'!$A$5:$A$49,2)=9)*'Buku Penjualan'!$E$5:$E$49)</f>
        <v>#VALUE!</v>
      </c>
    </row>
    <row r="17" spans="1:5" x14ac:dyDescent="0.2">
      <c r="A17" s="22" t="s">
        <v>54</v>
      </c>
      <c r="B17" s="23">
        <f>DATE($B$4,1,4)-WEEKDAY(DATE($B$4,1,4),3)+(10-1)*7</f>
        <v>46083</v>
      </c>
      <c r="C17" s="23">
        <f>B17+6</f>
        <v>46089</v>
      </c>
      <c r="D17" s="15" t="e">
        <f>SUMPRODUCT((YEAR('Buku Penjualan'!$A$5:$A$49)=$B$4)*(WEEKNUM('Buku Penjualan'!$A$5:$A$49,2)=10)*'Buku Penjualan'!$C$5:$C$49)</f>
        <v>#VALUE!</v>
      </c>
      <c r="E17" s="15" t="e">
        <f>SUMPRODUCT((YEAR('Buku Penjualan'!$A$5:$A$49)=$B$4)*(WEEKNUM('Buku Penjualan'!$A$5:$A$49,2)=10)*'Buku Penjualan'!$E$5:$E$49)</f>
        <v>#VALUE!</v>
      </c>
    </row>
    <row r="18" spans="1:5" x14ac:dyDescent="0.2">
      <c r="A18" s="22" t="s">
        <v>55</v>
      </c>
      <c r="B18" s="23">
        <f>DATE($B$4,1,4)-WEEKDAY(DATE($B$4,1,4),3)+(11-1)*7</f>
        <v>46090</v>
      </c>
      <c r="C18" s="23">
        <f>B18+6</f>
        <v>46096</v>
      </c>
      <c r="D18" s="15" t="e">
        <f>SUMPRODUCT((YEAR('Buku Penjualan'!$A$5:$A$49)=$B$4)*(WEEKNUM('Buku Penjualan'!$A$5:$A$49,2)=11)*'Buku Penjualan'!$C$5:$C$49)</f>
        <v>#VALUE!</v>
      </c>
      <c r="E18" s="15" t="e">
        <f>SUMPRODUCT((YEAR('Buku Penjualan'!$A$5:$A$49)=$B$4)*(WEEKNUM('Buku Penjualan'!$A$5:$A$49,2)=11)*'Buku Penjualan'!$E$5:$E$49)</f>
        <v>#VALUE!</v>
      </c>
    </row>
    <row r="19" spans="1:5" x14ac:dyDescent="0.2">
      <c r="A19" s="22" t="s">
        <v>56</v>
      </c>
      <c r="B19" s="23">
        <f>DATE($B$4,1,4)-WEEKDAY(DATE($B$4,1,4),3)+(12-1)*7</f>
        <v>46097</v>
      </c>
      <c r="C19" s="23">
        <f>B19+6</f>
        <v>46103</v>
      </c>
      <c r="D19" s="15" t="e">
        <f>SUMPRODUCT((YEAR('Buku Penjualan'!$A$5:$A$49)=$B$4)*(WEEKNUM('Buku Penjualan'!$A$5:$A$49,2)=12)*'Buku Penjualan'!$C$5:$C$49)</f>
        <v>#VALUE!</v>
      </c>
      <c r="E19" s="15" t="e">
        <f>SUMPRODUCT((YEAR('Buku Penjualan'!$A$5:$A$49)=$B$4)*(WEEKNUM('Buku Penjualan'!$A$5:$A$49,2)=12)*'Buku Penjualan'!$E$5:$E$49)</f>
        <v>#VALUE!</v>
      </c>
    </row>
    <row r="20" spans="1:5" x14ac:dyDescent="0.2">
      <c r="A20" s="22" t="s">
        <v>57</v>
      </c>
      <c r="B20" s="23">
        <f>DATE($B$4,1,4)-WEEKDAY(DATE($B$4,1,4),3)+(13-1)*7</f>
        <v>46104</v>
      </c>
      <c r="C20" s="23">
        <f>B20+6</f>
        <v>46110</v>
      </c>
      <c r="D20" s="15" t="e">
        <f>SUMPRODUCT((YEAR('Buku Penjualan'!$A$5:$A$49)=$B$4)*(WEEKNUM('Buku Penjualan'!$A$5:$A$49,2)=13)*'Buku Penjualan'!$C$5:$C$49)</f>
        <v>#VALUE!</v>
      </c>
      <c r="E20" s="15" t="e">
        <f>SUMPRODUCT((YEAR('Buku Penjualan'!$A$5:$A$49)=$B$4)*(WEEKNUM('Buku Penjualan'!$A$5:$A$49,2)=13)*'Buku Penjualan'!$E$5:$E$49)</f>
        <v>#VALUE!</v>
      </c>
    </row>
    <row r="21" spans="1:5" x14ac:dyDescent="0.2">
      <c r="A21" s="22" t="s">
        <v>58</v>
      </c>
      <c r="B21" s="23">
        <f>DATE($B$4,1,4)-WEEKDAY(DATE($B$4,1,4),3)+(14-1)*7</f>
        <v>46111</v>
      </c>
      <c r="C21" s="23">
        <f>B21+6</f>
        <v>46117</v>
      </c>
      <c r="D21" s="15" t="e">
        <f>SUMPRODUCT((YEAR('Buku Penjualan'!$A$5:$A$49)=$B$4)*(WEEKNUM('Buku Penjualan'!$A$5:$A$49,2)=14)*'Buku Penjualan'!$C$5:$C$49)</f>
        <v>#VALUE!</v>
      </c>
      <c r="E21" s="15" t="e">
        <f>SUMPRODUCT((YEAR('Buku Penjualan'!$A$5:$A$49)=$B$4)*(WEEKNUM('Buku Penjualan'!$A$5:$A$49,2)=14)*'Buku Penjualan'!$E$5:$E$49)</f>
        <v>#VALUE!</v>
      </c>
    </row>
    <row r="22" spans="1:5" x14ac:dyDescent="0.2">
      <c r="A22" s="22" t="s">
        <v>59</v>
      </c>
      <c r="B22" s="23">
        <f>DATE($B$4,1,4)-WEEKDAY(DATE($B$4,1,4),3)+(15-1)*7</f>
        <v>46118</v>
      </c>
      <c r="C22" s="23">
        <f>B22+6</f>
        <v>46124</v>
      </c>
      <c r="D22" s="15" t="e">
        <f>SUMPRODUCT((YEAR('Buku Penjualan'!$A$5:$A$49)=$B$4)*(WEEKNUM('Buku Penjualan'!$A$5:$A$49,2)=15)*'Buku Penjualan'!$C$5:$C$49)</f>
        <v>#VALUE!</v>
      </c>
      <c r="E22" s="15" t="e">
        <f>SUMPRODUCT((YEAR('Buku Penjualan'!$A$5:$A$49)=$B$4)*(WEEKNUM('Buku Penjualan'!$A$5:$A$49,2)=15)*'Buku Penjualan'!$E$5:$E$49)</f>
        <v>#VALUE!</v>
      </c>
    </row>
    <row r="23" spans="1:5" x14ac:dyDescent="0.2">
      <c r="A23" s="22" t="s">
        <v>60</v>
      </c>
      <c r="B23" s="23">
        <f>DATE($B$4,1,4)-WEEKDAY(DATE($B$4,1,4),3)+(16-1)*7</f>
        <v>46125</v>
      </c>
      <c r="C23" s="23">
        <f>B23+6</f>
        <v>46131</v>
      </c>
      <c r="D23" s="15" t="e">
        <f>SUMPRODUCT((YEAR('Buku Penjualan'!$A$5:$A$49)=$B$4)*(WEEKNUM('Buku Penjualan'!$A$5:$A$49,2)=16)*'Buku Penjualan'!$C$5:$C$49)</f>
        <v>#VALUE!</v>
      </c>
      <c r="E23" s="15" t="e">
        <f>SUMPRODUCT((YEAR('Buku Penjualan'!$A$5:$A$49)=$B$4)*(WEEKNUM('Buku Penjualan'!$A$5:$A$49,2)=16)*'Buku Penjualan'!$E$5:$E$49)</f>
        <v>#VALUE!</v>
      </c>
    </row>
    <row r="24" spans="1:5" x14ac:dyDescent="0.2">
      <c r="A24" s="22" t="s">
        <v>61</v>
      </c>
      <c r="B24" s="23">
        <f>DATE($B$4,1,4)-WEEKDAY(DATE($B$4,1,4),3)+(17-1)*7</f>
        <v>46132</v>
      </c>
      <c r="C24" s="23">
        <f>B24+6</f>
        <v>46138</v>
      </c>
      <c r="D24" s="15" t="e">
        <f>SUMPRODUCT((YEAR('Buku Penjualan'!$A$5:$A$49)=$B$4)*(WEEKNUM('Buku Penjualan'!$A$5:$A$49,2)=17)*'Buku Penjualan'!$C$5:$C$49)</f>
        <v>#VALUE!</v>
      </c>
      <c r="E24" s="15" t="e">
        <f>SUMPRODUCT((YEAR('Buku Penjualan'!$A$5:$A$49)=$B$4)*(WEEKNUM('Buku Penjualan'!$A$5:$A$49,2)=17)*'Buku Penjualan'!$E$5:$E$49)</f>
        <v>#VALUE!</v>
      </c>
    </row>
    <row r="25" spans="1:5" x14ac:dyDescent="0.2">
      <c r="A25" s="22" t="s">
        <v>62</v>
      </c>
      <c r="B25" s="23">
        <f>DATE($B$4,1,4)-WEEKDAY(DATE($B$4,1,4),3)+(18-1)*7</f>
        <v>46139</v>
      </c>
      <c r="C25" s="23">
        <f>B25+6</f>
        <v>46145</v>
      </c>
      <c r="D25" s="15" t="e">
        <f>SUMPRODUCT((YEAR('Buku Penjualan'!$A$5:$A$49)=$B$4)*(WEEKNUM('Buku Penjualan'!$A$5:$A$49,2)=18)*'Buku Penjualan'!$C$5:$C$49)</f>
        <v>#VALUE!</v>
      </c>
      <c r="E25" s="15" t="e">
        <f>SUMPRODUCT((YEAR('Buku Penjualan'!$A$5:$A$49)=$B$4)*(WEEKNUM('Buku Penjualan'!$A$5:$A$49,2)=18)*'Buku Penjualan'!$E$5:$E$49)</f>
        <v>#VALUE!</v>
      </c>
    </row>
    <row r="26" spans="1:5" x14ac:dyDescent="0.2">
      <c r="A26" s="22" t="s">
        <v>63</v>
      </c>
      <c r="B26" s="23">
        <f>DATE($B$4,1,4)-WEEKDAY(DATE($B$4,1,4),3)+(19-1)*7</f>
        <v>46146</v>
      </c>
      <c r="C26" s="23">
        <f>B26+6</f>
        <v>46152</v>
      </c>
      <c r="D26" s="15" t="e">
        <f>SUMPRODUCT((YEAR('Buku Penjualan'!$A$5:$A$49)=$B$4)*(WEEKNUM('Buku Penjualan'!$A$5:$A$49,2)=19)*'Buku Penjualan'!$C$5:$C$49)</f>
        <v>#VALUE!</v>
      </c>
      <c r="E26" s="15" t="e">
        <f>SUMPRODUCT((YEAR('Buku Penjualan'!$A$5:$A$49)=$B$4)*(WEEKNUM('Buku Penjualan'!$A$5:$A$49,2)=19)*'Buku Penjualan'!$E$5:$E$49)</f>
        <v>#VALUE!</v>
      </c>
    </row>
    <row r="27" spans="1:5" x14ac:dyDescent="0.2">
      <c r="A27" s="22" t="s">
        <v>64</v>
      </c>
      <c r="B27" s="23">
        <f>DATE($B$4,1,4)-WEEKDAY(DATE($B$4,1,4),3)+(20-1)*7</f>
        <v>46153</v>
      </c>
      <c r="C27" s="23">
        <f>B27+6</f>
        <v>46159</v>
      </c>
      <c r="D27" s="15" t="e">
        <f>SUMPRODUCT((YEAR('Buku Penjualan'!$A$5:$A$49)=$B$4)*(WEEKNUM('Buku Penjualan'!$A$5:$A$49,2)=20)*'Buku Penjualan'!$C$5:$C$49)</f>
        <v>#VALUE!</v>
      </c>
      <c r="E27" s="15" t="e">
        <f>SUMPRODUCT((YEAR('Buku Penjualan'!$A$5:$A$49)=$B$4)*(WEEKNUM('Buku Penjualan'!$A$5:$A$49,2)=20)*'Buku Penjualan'!$E$5:$E$49)</f>
        <v>#VALUE!</v>
      </c>
    </row>
    <row r="28" spans="1:5" x14ac:dyDescent="0.2">
      <c r="A28" s="22" t="s">
        <v>65</v>
      </c>
      <c r="B28" s="23">
        <f>DATE($B$4,1,4)-WEEKDAY(DATE($B$4,1,4),3)+(21-1)*7</f>
        <v>46160</v>
      </c>
      <c r="C28" s="23">
        <f>B28+6</f>
        <v>46166</v>
      </c>
      <c r="D28" s="15" t="e">
        <f>SUMPRODUCT((YEAR('Buku Penjualan'!$A$5:$A$49)=$B$4)*(WEEKNUM('Buku Penjualan'!$A$5:$A$49,2)=21)*'Buku Penjualan'!$C$5:$C$49)</f>
        <v>#VALUE!</v>
      </c>
      <c r="E28" s="15" t="e">
        <f>SUMPRODUCT((YEAR('Buku Penjualan'!$A$5:$A$49)=$B$4)*(WEEKNUM('Buku Penjualan'!$A$5:$A$49,2)=21)*'Buku Penjualan'!$E$5:$E$49)</f>
        <v>#VALUE!</v>
      </c>
    </row>
    <row r="29" spans="1:5" x14ac:dyDescent="0.2">
      <c r="A29" s="22" t="s">
        <v>66</v>
      </c>
      <c r="B29" s="23">
        <f>DATE($B$4,1,4)-WEEKDAY(DATE($B$4,1,4),3)+(22-1)*7</f>
        <v>46167</v>
      </c>
      <c r="C29" s="23">
        <f>B29+6</f>
        <v>46173</v>
      </c>
      <c r="D29" s="15" t="e">
        <f>SUMPRODUCT((YEAR('Buku Penjualan'!$A$5:$A$49)=$B$4)*(WEEKNUM('Buku Penjualan'!$A$5:$A$49,2)=22)*'Buku Penjualan'!$C$5:$C$49)</f>
        <v>#VALUE!</v>
      </c>
      <c r="E29" s="15" t="e">
        <f>SUMPRODUCT((YEAR('Buku Penjualan'!$A$5:$A$49)=$B$4)*(WEEKNUM('Buku Penjualan'!$A$5:$A$49,2)=22)*'Buku Penjualan'!$E$5:$E$49)</f>
        <v>#VALUE!</v>
      </c>
    </row>
    <row r="30" spans="1:5" x14ac:dyDescent="0.2">
      <c r="A30" s="22" t="s">
        <v>67</v>
      </c>
      <c r="B30" s="23">
        <f>DATE($B$4,1,4)-WEEKDAY(DATE($B$4,1,4),3)+(23-1)*7</f>
        <v>46174</v>
      </c>
      <c r="C30" s="23">
        <f>B30+6</f>
        <v>46180</v>
      </c>
      <c r="D30" s="15" t="e">
        <f>SUMPRODUCT((YEAR('Buku Penjualan'!$A$5:$A$49)=$B$4)*(WEEKNUM('Buku Penjualan'!$A$5:$A$49,2)=23)*'Buku Penjualan'!$C$5:$C$49)</f>
        <v>#VALUE!</v>
      </c>
      <c r="E30" s="15" t="e">
        <f>SUMPRODUCT((YEAR('Buku Penjualan'!$A$5:$A$49)=$B$4)*(WEEKNUM('Buku Penjualan'!$A$5:$A$49,2)=23)*'Buku Penjualan'!$E$5:$E$49)</f>
        <v>#VALUE!</v>
      </c>
    </row>
    <row r="31" spans="1:5" x14ac:dyDescent="0.2">
      <c r="A31" s="22" t="s">
        <v>68</v>
      </c>
      <c r="B31" s="23">
        <f>DATE($B$4,1,4)-WEEKDAY(DATE($B$4,1,4),3)+(24-1)*7</f>
        <v>46181</v>
      </c>
      <c r="C31" s="23">
        <f>B31+6</f>
        <v>46187</v>
      </c>
      <c r="D31" s="15" t="e">
        <f>SUMPRODUCT((YEAR('Buku Penjualan'!$A$5:$A$49)=$B$4)*(WEEKNUM('Buku Penjualan'!$A$5:$A$49,2)=24)*'Buku Penjualan'!$C$5:$C$49)</f>
        <v>#VALUE!</v>
      </c>
      <c r="E31" s="15" t="e">
        <f>SUMPRODUCT((YEAR('Buku Penjualan'!$A$5:$A$49)=$B$4)*(WEEKNUM('Buku Penjualan'!$A$5:$A$49,2)=24)*'Buku Penjualan'!$E$5:$E$49)</f>
        <v>#VALUE!</v>
      </c>
    </row>
    <row r="32" spans="1:5" x14ac:dyDescent="0.2">
      <c r="A32" s="22" t="s">
        <v>69</v>
      </c>
      <c r="B32" s="23">
        <f>DATE($B$4,1,4)-WEEKDAY(DATE($B$4,1,4),3)+(25-1)*7</f>
        <v>46188</v>
      </c>
      <c r="C32" s="23">
        <f>B32+6</f>
        <v>46194</v>
      </c>
      <c r="D32" s="15" t="e">
        <f>SUMPRODUCT((YEAR('Buku Penjualan'!$A$5:$A$49)=$B$4)*(WEEKNUM('Buku Penjualan'!$A$5:$A$49,2)=25)*'Buku Penjualan'!$C$5:$C$49)</f>
        <v>#VALUE!</v>
      </c>
      <c r="E32" s="15" t="e">
        <f>SUMPRODUCT((YEAR('Buku Penjualan'!$A$5:$A$49)=$B$4)*(WEEKNUM('Buku Penjualan'!$A$5:$A$49,2)=25)*'Buku Penjualan'!$E$5:$E$49)</f>
        <v>#VALUE!</v>
      </c>
    </row>
    <row r="33" spans="1:5" x14ac:dyDescent="0.2">
      <c r="A33" s="22" t="s">
        <v>70</v>
      </c>
      <c r="B33" s="23">
        <f>DATE($B$4,1,4)-WEEKDAY(DATE($B$4,1,4),3)+(26-1)*7</f>
        <v>46195</v>
      </c>
      <c r="C33" s="23">
        <f>B33+6</f>
        <v>46201</v>
      </c>
      <c r="D33" s="15" t="e">
        <f>SUMPRODUCT((YEAR('Buku Penjualan'!$A$5:$A$49)=$B$4)*(WEEKNUM('Buku Penjualan'!$A$5:$A$49,2)=26)*'Buku Penjualan'!$C$5:$C$49)</f>
        <v>#VALUE!</v>
      </c>
      <c r="E33" s="15" t="e">
        <f>SUMPRODUCT((YEAR('Buku Penjualan'!$A$5:$A$49)=$B$4)*(WEEKNUM('Buku Penjualan'!$A$5:$A$49,2)=26)*'Buku Penjualan'!$E$5:$E$49)</f>
        <v>#VALUE!</v>
      </c>
    </row>
    <row r="34" spans="1:5" x14ac:dyDescent="0.2">
      <c r="A34" s="22" t="s">
        <v>71</v>
      </c>
      <c r="B34" s="23">
        <f>DATE($B$4,1,4)-WEEKDAY(DATE($B$4,1,4),3)+(27-1)*7</f>
        <v>46202</v>
      </c>
      <c r="C34" s="23">
        <f>B34+6</f>
        <v>46208</v>
      </c>
      <c r="D34" s="15" t="e">
        <f>SUMPRODUCT((YEAR('Buku Penjualan'!$A$5:$A$49)=$B$4)*(WEEKNUM('Buku Penjualan'!$A$5:$A$49,2)=27)*'Buku Penjualan'!$C$5:$C$49)</f>
        <v>#VALUE!</v>
      </c>
      <c r="E34" s="15" t="e">
        <f>SUMPRODUCT((YEAR('Buku Penjualan'!$A$5:$A$49)=$B$4)*(WEEKNUM('Buku Penjualan'!$A$5:$A$49,2)=27)*'Buku Penjualan'!$E$5:$E$49)</f>
        <v>#VALUE!</v>
      </c>
    </row>
    <row r="35" spans="1:5" x14ac:dyDescent="0.2">
      <c r="A35" s="22" t="s">
        <v>72</v>
      </c>
      <c r="B35" s="23">
        <f>DATE($B$4,1,4)-WEEKDAY(DATE($B$4,1,4),3)+(28-1)*7</f>
        <v>46209</v>
      </c>
      <c r="C35" s="23">
        <f>B35+6</f>
        <v>46215</v>
      </c>
      <c r="D35" s="15" t="e">
        <f>SUMPRODUCT((YEAR('Buku Penjualan'!$A$5:$A$49)=$B$4)*(WEEKNUM('Buku Penjualan'!$A$5:$A$49,2)=28)*'Buku Penjualan'!$C$5:$C$49)</f>
        <v>#VALUE!</v>
      </c>
      <c r="E35" s="15" t="e">
        <f>SUMPRODUCT((YEAR('Buku Penjualan'!$A$5:$A$49)=$B$4)*(WEEKNUM('Buku Penjualan'!$A$5:$A$49,2)=28)*'Buku Penjualan'!$E$5:$E$49)</f>
        <v>#VALUE!</v>
      </c>
    </row>
    <row r="36" spans="1:5" x14ac:dyDescent="0.2">
      <c r="A36" s="22" t="s">
        <v>73</v>
      </c>
      <c r="B36" s="23">
        <f>DATE($B$4,1,4)-WEEKDAY(DATE($B$4,1,4),3)+(29-1)*7</f>
        <v>46216</v>
      </c>
      <c r="C36" s="23">
        <f>B36+6</f>
        <v>46222</v>
      </c>
      <c r="D36" s="15" t="e">
        <f>SUMPRODUCT((YEAR('Buku Penjualan'!$A$5:$A$49)=$B$4)*(WEEKNUM('Buku Penjualan'!$A$5:$A$49,2)=29)*'Buku Penjualan'!$C$5:$C$49)</f>
        <v>#VALUE!</v>
      </c>
      <c r="E36" s="15" t="e">
        <f>SUMPRODUCT((YEAR('Buku Penjualan'!$A$5:$A$49)=$B$4)*(WEEKNUM('Buku Penjualan'!$A$5:$A$49,2)=29)*'Buku Penjualan'!$E$5:$E$49)</f>
        <v>#VALUE!</v>
      </c>
    </row>
    <row r="37" spans="1:5" x14ac:dyDescent="0.2">
      <c r="A37" s="22" t="s">
        <v>74</v>
      </c>
      <c r="B37" s="23">
        <f>DATE($B$4,1,4)-WEEKDAY(DATE($B$4,1,4),3)+(30-1)*7</f>
        <v>46223</v>
      </c>
      <c r="C37" s="23">
        <f>B37+6</f>
        <v>46229</v>
      </c>
      <c r="D37" s="15" t="e">
        <f>SUMPRODUCT((YEAR('Buku Penjualan'!$A$5:$A$49)=$B$4)*(WEEKNUM('Buku Penjualan'!$A$5:$A$49,2)=30)*'Buku Penjualan'!$C$5:$C$49)</f>
        <v>#VALUE!</v>
      </c>
      <c r="E37" s="15" t="e">
        <f>SUMPRODUCT((YEAR('Buku Penjualan'!$A$5:$A$49)=$B$4)*(WEEKNUM('Buku Penjualan'!$A$5:$A$49,2)=30)*'Buku Penjualan'!$E$5:$E$49)</f>
        <v>#VALUE!</v>
      </c>
    </row>
    <row r="38" spans="1:5" x14ac:dyDescent="0.2">
      <c r="A38" s="22" t="s">
        <v>75</v>
      </c>
      <c r="B38" s="23">
        <f>DATE($B$4,1,4)-WEEKDAY(DATE($B$4,1,4),3)+(31-1)*7</f>
        <v>46230</v>
      </c>
      <c r="C38" s="23">
        <f>B38+6</f>
        <v>46236</v>
      </c>
      <c r="D38" s="15" t="e">
        <f>SUMPRODUCT((YEAR('Buku Penjualan'!$A$5:$A$49)=$B$4)*(WEEKNUM('Buku Penjualan'!$A$5:$A$49,2)=31)*'Buku Penjualan'!$C$5:$C$49)</f>
        <v>#VALUE!</v>
      </c>
      <c r="E38" s="15" t="e">
        <f>SUMPRODUCT((YEAR('Buku Penjualan'!$A$5:$A$49)=$B$4)*(WEEKNUM('Buku Penjualan'!$A$5:$A$49,2)=31)*'Buku Penjualan'!$E$5:$E$49)</f>
        <v>#VALUE!</v>
      </c>
    </row>
    <row r="39" spans="1:5" x14ac:dyDescent="0.2">
      <c r="A39" s="22" t="s">
        <v>76</v>
      </c>
      <c r="B39" s="23">
        <f>DATE($B$4,1,4)-WEEKDAY(DATE($B$4,1,4),3)+(32-1)*7</f>
        <v>46237</v>
      </c>
      <c r="C39" s="23">
        <f>B39+6</f>
        <v>46243</v>
      </c>
      <c r="D39" s="15" t="e">
        <f>SUMPRODUCT((YEAR('Buku Penjualan'!$A$5:$A$49)=$B$4)*(WEEKNUM('Buku Penjualan'!$A$5:$A$49,2)=32)*'Buku Penjualan'!$C$5:$C$49)</f>
        <v>#VALUE!</v>
      </c>
      <c r="E39" s="15" t="e">
        <f>SUMPRODUCT((YEAR('Buku Penjualan'!$A$5:$A$49)=$B$4)*(WEEKNUM('Buku Penjualan'!$A$5:$A$49,2)=32)*'Buku Penjualan'!$E$5:$E$49)</f>
        <v>#VALUE!</v>
      </c>
    </row>
    <row r="40" spans="1:5" x14ac:dyDescent="0.2">
      <c r="A40" s="22" t="s">
        <v>77</v>
      </c>
      <c r="B40" s="23">
        <f>DATE($B$4,1,4)-WEEKDAY(DATE($B$4,1,4),3)+(33-1)*7</f>
        <v>46244</v>
      </c>
      <c r="C40" s="23">
        <f>B40+6</f>
        <v>46250</v>
      </c>
      <c r="D40" s="15" t="e">
        <f>SUMPRODUCT((YEAR('Buku Penjualan'!$A$5:$A$49)=$B$4)*(WEEKNUM('Buku Penjualan'!$A$5:$A$49,2)=33)*'Buku Penjualan'!$C$5:$C$49)</f>
        <v>#VALUE!</v>
      </c>
      <c r="E40" s="15" t="e">
        <f>SUMPRODUCT((YEAR('Buku Penjualan'!$A$5:$A$49)=$B$4)*(WEEKNUM('Buku Penjualan'!$A$5:$A$49,2)=33)*'Buku Penjualan'!$E$5:$E$49)</f>
        <v>#VALUE!</v>
      </c>
    </row>
    <row r="41" spans="1:5" x14ac:dyDescent="0.2">
      <c r="A41" s="22" t="s">
        <v>78</v>
      </c>
      <c r="B41" s="23">
        <f>DATE($B$4,1,4)-WEEKDAY(DATE($B$4,1,4),3)+(34-1)*7</f>
        <v>46251</v>
      </c>
      <c r="C41" s="23">
        <f>B41+6</f>
        <v>46257</v>
      </c>
      <c r="D41" s="15" t="e">
        <f>SUMPRODUCT((YEAR('Buku Penjualan'!$A$5:$A$49)=$B$4)*(WEEKNUM('Buku Penjualan'!$A$5:$A$49,2)=34)*'Buku Penjualan'!$C$5:$C$49)</f>
        <v>#VALUE!</v>
      </c>
      <c r="E41" s="15" t="e">
        <f>SUMPRODUCT((YEAR('Buku Penjualan'!$A$5:$A$49)=$B$4)*(WEEKNUM('Buku Penjualan'!$A$5:$A$49,2)=34)*'Buku Penjualan'!$E$5:$E$49)</f>
        <v>#VALUE!</v>
      </c>
    </row>
    <row r="42" spans="1:5" x14ac:dyDescent="0.2">
      <c r="A42" s="22" t="s">
        <v>79</v>
      </c>
      <c r="B42" s="23">
        <f>DATE($B$4,1,4)-WEEKDAY(DATE($B$4,1,4),3)+(35-1)*7</f>
        <v>46258</v>
      </c>
      <c r="C42" s="23">
        <f>B42+6</f>
        <v>46264</v>
      </c>
      <c r="D42" s="15" t="e">
        <f>SUMPRODUCT((YEAR('Buku Penjualan'!$A$5:$A$49)=$B$4)*(WEEKNUM('Buku Penjualan'!$A$5:$A$49,2)=35)*'Buku Penjualan'!$C$5:$C$49)</f>
        <v>#VALUE!</v>
      </c>
      <c r="E42" s="15" t="e">
        <f>SUMPRODUCT((YEAR('Buku Penjualan'!$A$5:$A$49)=$B$4)*(WEEKNUM('Buku Penjualan'!$A$5:$A$49,2)=35)*'Buku Penjualan'!$E$5:$E$49)</f>
        <v>#VALUE!</v>
      </c>
    </row>
    <row r="43" spans="1:5" x14ac:dyDescent="0.2">
      <c r="A43" s="22" t="s">
        <v>80</v>
      </c>
      <c r="B43" s="23">
        <f>DATE($B$4,1,4)-WEEKDAY(DATE($B$4,1,4),3)+(36-1)*7</f>
        <v>46265</v>
      </c>
      <c r="C43" s="23">
        <f>B43+6</f>
        <v>46271</v>
      </c>
      <c r="D43" s="15" t="e">
        <f>SUMPRODUCT((YEAR('Buku Penjualan'!$A$5:$A$49)=$B$4)*(WEEKNUM('Buku Penjualan'!$A$5:$A$49,2)=36)*'Buku Penjualan'!$C$5:$C$49)</f>
        <v>#VALUE!</v>
      </c>
      <c r="E43" s="15" t="e">
        <f>SUMPRODUCT((YEAR('Buku Penjualan'!$A$5:$A$49)=$B$4)*(WEEKNUM('Buku Penjualan'!$A$5:$A$49,2)=36)*'Buku Penjualan'!$E$5:$E$49)</f>
        <v>#VALUE!</v>
      </c>
    </row>
    <row r="44" spans="1:5" x14ac:dyDescent="0.2">
      <c r="A44" s="22" t="s">
        <v>81</v>
      </c>
      <c r="B44" s="23">
        <f>DATE($B$4,1,4)-WEEKDAY(DATE($B$4,1,4),3)+(37-1)*7</f>
        <v>46272</v>
      </c>
      <c r="C44" s="23">
        <f>B44+6</f>
        <v>46278</v>
      </c>
      <c r="D44" s="15" t="e">
        <f>SUMPRODUCT((YEAR('Buku Penjualan'!$A$5:$A$49)=$B$4)*(WEEKNUM('Buku Penjualan'!$A$5:$A$49,2)=37)*'Buku Penjualan'!$C$5:$C$49)</f>
        <v>#VALUE!</v>
      </c>
      <c r="E44" s="15" t="e">
        <f>SUMPRODUCT((YEAR('Buku Penjualan'!$A$5:$A$49)=$B$4)*(WEEKNUM('Buku Penjualan'!$A$5:$A$49,2)=37)*'Buku Penjualan'!$E$5:$E$49)</f>
        <v>#VALUE!</v>
      </c>
    </row>
    <row r="45" spans="1:5" x14ac:dyDescent="0.2">
      <c r="A45" s="22" t="s">
        <v>82</v>
      </c>
      <c r="B45" s="23">
        <f>DATE($B$4,1,4)-WEEKDAY(DATE($B$4,1,4),3)+(38-1)*7</f>
        <v>46279</v>
      </c>
      <c r="C45" s="23">
        <f>B45+6</f>
        <v>46285</v>
      </c>
      <c r="D45" s="15" t="e">
        <f>SUMPRODUCT((YEAR('Buku Penjualan'!$A$5:$A$49)=$B$4)*(WEEKNUM('Buku Penjualan'!$A$5:$A$49,2)=38)*'Buku Penjualan'!$C$5:$C$49)</f>
        <v>#VALUE!</v>
      </c>
      <c r="E45" s="15" t="e">
        <f>SUMPRODUCT((YEAR('Buku Penjualan'!$A$5:$A$49)=$B$4)*(WEEKNUM('Buku Penjualan'!$A$5:$A$49,2)=38)*'Buku Penjualan'!$E$5:$E$49)</f>
        <v>#VALUE!</v>
      </c>
    </row>
    <row r="46" spans="1:5" x14ac:dyDescent="0.2">
      <c r="A46" s="22" t="s">
        <v>83</v>
      </c>
      <c r="B46" s="23">
        <f>DATE($B$4,1,4)-WEEKDAY(DATE($B$4,1,4),3)+(39-1)*7</f>
        <v>46286</v>
      </c>
      <c r="C46" s="23">
        <f>B46+6</f>
        <v>46292</v>
      </c>
      <c r="D46" s="15" t="e">
        <f>SUMPRODUCT((YEAR('Buku Penjualan'!$A$5:$A$49)=$B$4)*(WEEKNUM('Buku Penjualan'!$A$5:$A$49,2)=39)*'Buku Penjualan'!$C$5:$C$49)</f>
        <v>#VALUE!</v>
      </c>
      <c r="E46" s="15" t="e">
        <f>SUMPRODUCT((YEAR('Buku Penjualan'!$A$5:$A$49)=$B$4)*(WEEKNUM('Buku Penjualan'!$A$5:$A$49,2)=39)*'Buku Penjualan'!$E$5:$E$49)</f>
        <v>#VALUE!</v>
      </c>
    </row>
    <row r="47" spans="1:5" x14ac:dyDescent="0.2">
      <c r="A47" s="22" t="s">
        <v>84</v>
      </c>
      <c r="B47" s="23">
        <f>DATE($B$4,1,4)-WEEKDAY(DATE($B$4,1,4),3)+(40-1)*7</f>
        <v>46293</v>
      </c>
      <c r="C47" s="23">
        <f>B47+6</f>
        <v>46299</v>
      </c>
      <c r="D47" s="15" t="e">
        <f>SUMPRODUCT((YEAR('Buku Penjualan'!$A$5:$A$49)=$B$4)*(WEEKNUM('Buku Penjualan'!$A$5:$A$49,2)=40)*'Buku Penjualan'!$C$5:$C$49)</f>
        <v>#VALUE!</v>
      </c>
      <c r="E47" s="15" t="e">
        <f>SUMPRODUCT((YEAR('Buku Penjualan'!$A$5:$A$49)=$B$4)*(WEEKNUM('Buku Penjualan'!$A$5:$A$49,2)=40)*'Buku Penjualan'!$E$5:$E$49)</f>
        <v>#VALUE!</v>
      </c>
    </row>
    <row r="48" spans="1:5" x14ac:dyDescent="0.2">
      <c r="A48" s="22" t="s">
        <v>85</v>
      </c>
      <c r="B48" s="23">
        <f>DATE($B$4,1,4)-WEEKDAY(DATE($B$4,1,4),3)+(41-1)*7</f>
        <v>46300</v>
      </c>
      <c r="C48" s="23">
        <f>B48+6</f>
        <v>46306</v>
      </c>
      <c r="D48" s="15" t="e">
        <f>SUMPRODUCT((YEAR('Buku Penjualan'!$A$5:$A$49)=$B$4)*(WEEKNUM('Buku Penjualan'!$A$5:$A$49,2)=41)*'Buku Penjualan'!$C$5:$C$49)</f>
        <v>#VALUE!</v>
      </c>
      <c r="E48" s="15" t="e">
        <f>SUMPRODUCT((YEAR('Buku Penjualan'!$A$5:$A$49)=$B$4)*(WEEKNUM('Buku Penjualan'!$A$5:$A$49,2)=41)*'Buku Penjualan'!$E$5:$E$49)</f>
        <v>#VALUE!</v>
      </c>
    </row>
    <row r="49" spans="1:5" x14ac:dyDescent="0.2">
      <c r="A49" s="22" t="s">
        <v>86</v>
      </c>
      <c r="B49" s="23">
        <f>DATE($B$4,1,4)-WEEKDAY(DATE($B$4,1,4),3)+(42-1)*7</f>
        <v>46307</v>
      </c>
      <c r="C49" s="23">
        <f>B49+6</f>
        <v>46313</v>
      </c>
      <c r="D49" s="15" t="e">
        <f>SUMPRODUCT((YEAR('Buku Penjualan'!$A$5:$A$49)=$B$4)*(WEEKNUM('Buku Penjualan'!$A$5:$A$49,2)=42)*'Buku Penjualan'!$C$5:$C$49)</f>
        <v>#VALUE!</v>
      </c>
      <c r="E49" s="15" t="e">
        <f>SUMPRODUCT((YEAR('Buku Penjualan'!$A$5:$A$49)=$B$4)*(WEEKNUM('Buku Penjualan'!$A$5:$A$49,2)=42)*'Buku Penjualan'!$E$5:$E$49)</f>
        <v>#VALUE!</v>
      </c>
    </row>
    <row r="50" spans="1:5" x14ac:dyDescent="0.2">
      <c r="A50" s="22" t="s">
        <v>87</v>
      </c>
      <c r="B50" s="23">
        <f>DATE($B$4,1,4)-WEEKDAY(DATE($B$4,1,4),3)+(43-1)*7</f>
        <v>46314</v>
      </c>
      <c r="C50" s="23">
        <f>B50+6</f>
        <v>46320</v>
      </c>
      <c r="D50" s="15" t="e">
        <f>SUMPRODUCT((YEAR('Buku Penjualan'!$A$5:$A$49)=$B$4)*(WEEKNUM('Buku Penjualan'!$A$5:$A$49,2)=43)*'Buku Penjualan'!$C$5:$C$49)</f>
        <v>#VALUE!</v>
      </c>
      <c r="E50" s="15" t="e">
        <f>SUMPRODUCT((YEAR('Buku Penjualan'!$A$5:$A$49)=$B$4)*(WEEKNUM('Buku Penjualan'!$A$5:$A$49,2)=43)*'Buku Penjualan'!$E$5:$E$49)</f>
        <v>#VALUE!</v>
      </c>
    </row>
    <row r="51" spans="1:5" x14ac:dyDescent="0.2">
      <c r="A51" s="22" t="s">
        <v>88</v>
      </c>
      <c r="B51" s="23">
        <f>DATE($B$4,1,4)-WEEKDAY(DATE($B$4,1,4),3)+(44-1)*7</f>
        <v>46321</v>
      </c>
      <c r="C51" s="23">
        <f>B51+6</f>
        <v>46327</v>
      </c>
      <c r="D51" s="15" t="e">
        <f>SUMPRODUCT((YEAR('Buku Penjualan'!$A$5:$A$49)=$B$4)*(WEEKNUM('Buku Penjualan'!$A$5:$A$49,2)=44)*'Buku Penjualan'!$C$5:$C$49)</f>
        <v>#VALUE!</v>
      </c>
      <c r="E51" s="15" t="e">
        <f>SUMPRODUCT((YEAR('Buku Penjualan'!$A$5:$A$49)=$B$4)*(WEEKNUM('Buku Penjualan'!$A$5:$A$49,2)=44)*'Buku Penjualan'!$E$5:$E$49)</f>
        <v>#VALUE!</v>
      </c>
    </row>
    <row r="52" spans="1:5" x14ac:dyDescent="0.2">
      <c r="A52" s="22" t="s">
        <v>89</v>
      </c>
      <c r="B52" s="23">
        <f>DATE($B$4,1,4)-WEEKDAY(DATE($B$4,1,4),3)+(45-1)*7</f>
        <v>46328</v>
      </c>
      <c r="C52" s="23">
        <f>B52+6</f>
        <v>46334</v>
      </c>
      <c r="D52" s="15" t="e">
        <f>SUMPRODUCT((YEAR('Buku Penjualan'!$A$5:$A$49)=$B$4)*(WEEKNUM('Buku Penjualan'!$A$5:$A$49,2)=45)*'Buku Penjualan'!$C$5:$C$49)</f>
        <v>#VALUE!</v>
      </c>
      <c r="E52" s="15" t="e">
        <f>SUMPRODUCT((YEAR('Buku Penjualan'!$A$5:$A$49)=$B$4)*(WEEKNUM('Buku Penjualan'!$A$5:$A$49,2)=45)*'Buku Penjualan'!$E$5:$E$49)</f>
        <v>#VALUE!</v>
      </c>
    </row>
    <row r="53" spans="1:5" x14ac:dyDescent="0.2">
      <c r="A53" s="22" t="s">
        <v>90</v>
      </c>
      <c r="B53" s="23">
        <f>DATE($B$4,1,4)-WEEKDAY(DATE($B$4,1,4),3)+(46-1)*7</f>
        <v>46335</v>
      </c>
      <c r="C53" s="23">
        <f>B53+6</f>
        <v>46341</v>
      </c>
      <c r="D53" s="15" t="e">
        <f>SUMPRODUCT((YEAR('Buku Penjualan'!$A$5:$A$49)=$B$4)*(WEEKNUM('Buku Penjualan'!$A$5:$A$49,2)=46)*'Buku Penjualan'!$C$5:$C$49)</f>
        <v>#VALUE!</v>
      </c>
      <c r="E53" s="15" t="e">
        <f>SUMPRODUCT((YEAR('Buku Penjualan'!$A$5:$A$49)=$B$4)*(WEEKNUM('Buku Penjualan'!$A$5:$A$49,2)=46)*'Buku Penjualan'!$E$5:$E$49)</f>
        <v>#VALUE!</v>
      </c>
    </row>
    <row r="54" spans="1:5" x14ac:dyDescent="0.2">
      <c r="A54" s="22" t="s">
        <v>91</v>
      </c>
      <c r="B54" s="23">
        <f>DATE($B$4,1,4)-WEEKDAY(DATE($B$4,1,4),3)+(47-1)*7</f>
        <v>46342</v>
      </c>
      <c r="C54" s="23">
        <f>B54+6</f>
        <v>46348</v>
      </c>
      <c r="D54" s="15" t="e">
        <f>SUMPRODUCT((YEAR('Buku Penjualan'!$A$5:$A$49)=$B$4)*(WEEKNUM('Buku Penjualan'!$A$5:$A$49,2)=47)*'Buku Penjualan'!$C$5:$C$49)</f>
        <v>#VALUE!</v>
      </c>
      <c r="E54" s="15" t="e">
        <f>SUMPRODUCT((YEAR('Buku Penjualan'!$A$5:$A$49)=$B$4)*(WEEKNUM('Buku Penjualan'!$A$5:$A$49,2)=47)*'Buku Penjualan'!$E$5:$E$49)</f>
        <v>#VALUE!</v>
      </c>
    </row>
    <row r="55" spans="1:5" x14ac:dyDescent="0.2">
      <c r="A55" s="22" t="s">
        <v>92</v>
      </c>
      <c r="B55" s="23">
        <f>DATE($B$4,1,4)-WEEKDAY(DATE($B$4,1,4),3)+(48-1)*7</f>
        <v>46349</v>
      </c>
      <c r="C55" s="23">
        <f>B55+6</f>
        <v>46355</v>
      </c>
      <c r="D55" s="15" t="e">
        <f>SUMPRODUCT((YEAR('Buku Penjualan'!$A$5:$A$49)=$B$4)*(WEEKNUM('Buku Penjualan'!$A$5:$A$49,2)=48)*'Buku Penjualan'!$C$5:$C$49)</f>
        <v>#VALUE!</v>
      </c>
      <c r="E55" s="15" t="e">
        <f>SUMPRODUCT((YEAR('Buku Penjualan'!$A$5:$A$49)=$B$4)*(WEEKNUM('Buku Penjualan'!$A$5:$A$49,2)=48)*'Buku Penjualan'!$E$5:$E$49)</f>
        <v>#VALUE!</v>
      </c>
    </row>
    <row r="56" spans="1:5" x14ac:dyDescent="0.2">
      <c r="A56" s="22" t="s">
        <v>93</v>
      </c>
      <c r="B56" s="23">
        <f>DATE($B$4,1,4)-WEEKDAY(DATE($B$4,1,4),3)+(49-1)*7</f>
        <v>46356</v>
      </c>
      <c r="C56" s="23">
        <f>B56+6</f>
        <v>46362</v>
      </c>
      <c r="D56" s="15" t="e">
        <f>SUMPRODUCT((YEAR('Buku Penjualan'!$A$5:$A$49)=$B$4)*(WEEKNUM('Buku Penjualan'!$A$5:$A$49,2)=49)*'Buku Penjualan'!$C$5:$C$49)</f>
        <v>#VALUE!</v>
      </c>
      <c r="E56" s="15" t="e">
        <f>SUMPRODUCT((YEAR('Buku Penjualan'!$A$5:$A$49)=$B$4)*(WEEKNUM('Buku Penjualan'!$A$5:$A$49,2)=49)*'Buku Penjualan'!$E$5:$E$49)</f>
        <v>#VALUE!</v>
      </c>
    </row>
    <row r="57" spans="1:5" x14ac:dyDescent="0.2">
      <c r="A57" s="22" t="s">
        <v>94</v>
      </c>
      <c r="B57" s="23">
        <f>DATE($B$4,1,4)-WEEKDAY(DATE($B$4,1,4),3)+(50-1)*7</f>
        <v>46363</v>
      </c>
      <c r="C57" s="23">
        <f>B57+6</f>
        <v>46369</v>
      </c>
      <c r="D57" s="15" t="e">
        <f>SUMPRODUCT((YEAR('Buku Penjualan'!$A$5:$A$49)=$B$4)*(WEEKNUM('Buku Penjualan'!$A$5:$A$49,2)=50)*'Buku Penjualan'!$C$5:$C$49)</f>
        <v>#VALUE!</v>
      </c>
      <c r="E57" s="15" t="e">
        <f>SUMPRODUCT((YEAR('Buku Penjualan'!$A$5:$A$49)=$B$4)*(WEEKNUM('Buku Penjualan'!$A$5:$A$49,2)=50)*'Buku Penjualan'!$E$5:$E$49)</f>
        <v>#VALUE!</v>
      </c>
    </row>
    <row r="58" spans="1:5" x14ac:dyDescent="0.2">
      <c r="A58" s="22" t="s">
        <v>95</v>
      </c>
      <c r="B58" s="23">
        <f>DATE($B$4,1,4)-WEEKDAY(DATE($B$4,1,4),3)+(51-1)*7</f>
        <v>46370</v>
      </c>
      <c r="C58" s="23">
        <f>B58+6</f>
        <v>46376</v>
      </c>
      <c r="D58" s="15" t="e">
        <f>SUMPRODUCT((YEAR('Buku Penjualan'!$A$5:$A$49)=$B$4)*(WEEKNUM('Buku Penjualan'!$A$5:$A$49,2)=51)*'Buku Penjualan'!$C$5:$C$49)</f>
        <v>#VALUE!</v>
      </c>
      <c r="E58" s="15" t="e">
        <f>SUMPRODUCT((YEAR('Buku Penjualan'!$A$5:$A$49)=$B$4)*(WEEKNUM('Buku Penjualan'!$A$5:$A$49,2)=51)*'Buku Penjualan'!$E$5:$E$49)</f>
        <v>#VALUE!</v>
      </c>
    </row>
    <row r="59" spans="1:5" x14ac:dyDescent="0.2">
      <c r="A59" s="22" t="s">
        <v>96</v>
      </c>
      <c r="B59" s="23">
        <f>DATE($B$4,1,4)-WEEKDAY(DATE($B$4,1,4),3)+(52-1)*7</f>
        <v>46377</v>
      </c>
      <c r="C59" s="23">
        <f>B59+6</f>
        <v>46383</v>
      </c>
      <c r="D59" s="15" t="e">
        <f>SUMPRODUCT((YEAR('Buku Penjualan'!$A$5:$A$49)=$B$4)*(WEEKNUM('Buku Penjualan'!$A$5:$A$49,2)=52)*'Buku Penjualan'!$C$5:$C$49)</f>
        <v>#VALUE!</v>
      </c>
      <c r="E59" s="15" t="e">
        <f>SUMPRODUCT((YEAR('Buku Penjualan'!$A$5:$A$49)=$B$4)*(WEEKNUM('Buku Penjualan'!$A$5:$A$49,2)=52)*'Buku Penjualan'!$E$5:$E$49)</f>
        <v>#VALUE!</v>
      </c>
    </row>
    <row r="60" spans="1:5" x14ac:dyDescent="0.2">
      <c r="A60" s="22" t="s">
        <v>97</v>
      </c>
      <c r="B60" s="23">
        <f>DATE($B$4,1,4)-WEEKDAY(DATE($B$4,1,4),3)+(53-1)*7</f>
        <v>46384</v>
      </c>
      <c r="C60" s="23">
        <f>B60+6</f>
        <v>46390</v>
      </c>
      <c r="D60" s="15" t="e">
        <f>SUMPRODUCT((YEAR('Buku Penjualan'!$A$5:$A$49)=$B$4)*(WEEKNUM('Buku Penjualan'!$A$5:$A$49,2)=53)*'Buku Penjualan'!$C$5:$C$49)</f>
        <v>#VALUE!</v>
      </c>
      <c r="E60" s="15" t="e">
        <f>SUMPRODUCT((YEAR('Buku Penjualan'!$A$5:$A$49)=$B$4)*(WEEKNUM('Buku Penjualan'!$A$5:$A$49,2)=53)*'Buku Penjualan'!$E$5:$E$49)</f>
        <v>#VALUE!</v>
      </c>
    </row>
    <row r="61" spans="1:5" x14ac:dyDescent="0.2">
      <c r="A61" s="16" t="s">
        <v>98</v>
      </c>
      <c r="B61" s="16"/>
      <c r="C61" s="16"/>
      <c r="D61" s="17" t="e">
        <f>SUM(D8:D60)</f>
        <v>#VALUE!</v>
      </c>
      <c r="E61" s="17" t="e">
        <f>SUM(E8:E60)</f>
        <v>#VALUE!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showGridLines="0" zoomScaleNormal="100" workbookViewId="0"/>
  </sheetViews>
  <sheetFormatPr defaultColWidth="8.7421875" defaultRowHeight="15" x14ac:dyDescent="0.2"/>
  <cols>
    <col min="1" max="1" width="16.0078125" customWidth="1"/>
    <col min="2" max="3" width="18.0234375" customWidth="1"/>
  </cols>
  <sheetData>
    <row r="1" spans="1:3" ht="20.25" x14ac:dyDescent="0.25">
      <c r="A1" s="7" t="s">
        <v>99</v>
      </c>
    </row>
    <row r="2" spans="1:3" x14ac:dyDescent="0.2">
      <c r="A2" s="3" t="s">
        <v>37</v>
      </c>
    </row>
    <row r="4" spans="1:3" x14ac:dyDescent="0.2">
      <c r="A4" s="20" t="s">
        <v>38</v>
      </c>
      <c r="B4" s="21">
        <v>2026</v>
      </c>
    </row>
    <row r="6" spans="1:3" ht="30" customHeight="1" x14ac:dyDescent="0.2">
      <c r="A6" s="8" t="s">
        <v>100</v>
      </c>
      <c r="B6" s="8" t="s">
        <v>43</v>
      </c>
      <c r="C6" s="8" t="s">
        <v>44</v>
      </c>
    </row>
    <row r="7" spans="1:3" x14ac:dyDescent="0.2">
      <c r="A7" s="22" t="s">
        <v>101</v>
      </c>
      <c r="B7" s="15">
        <f>SUMIFS('Buku Penjualan'!$C$5:$C$49,'Buku Penjualan'!$A$5:$A$49,"&gt;="&amp;DATE($B$4,1,1),'Buku Penjualan'!$A$5:$A$49,"&lt;"&amp;DATE($B$4,1+1,1))</f>
        <v>18</v>
      </c>
      <c r="C7" s="15">
        <f>SUMIFS('Buku Penjualan'!$E$5:$E$49,'Buku Penjualan'!$A$5:$A$49,"&gt;="&amp;DATE($B$4,1,1),'Buku Penjualan'!$A$5:$A$49,"&lt;"&amp;DATE($B$4,1+1,1))</f>
        <v>270000</v>
      </c>
    </row>
    <row r="8" spans="1:3" x14ac:dyDescent="0.2">
      <c r="A8" s="22" t="s">
        <v>102</v>
      </c>
      <c r="B8" s="15">
        <f>SUMIFS('Buku Penjualan'!$C$5:$C$49,'Buku Penjualan'!$A$5:$A$49,"&gt;="&amp;DATE($B$4,2,1),'Buku Penjualan'!$A$5:$A$49,"&lt;"&amp;DATE($B$4,2+1,1))</f>
        <v>12</v>
      </c>
      <c r="C8" s="15">
        <f>SUMIFS('Buku Penjualan'!$E$5:$E$49,'Buku Penjualan'!$A$5:$A$49,"&gt;="&amp;DATE($B$4,2,1),'Buku Penjualan'!$A$5:$A$49,"&lt;"&amp;DATE($B$4,2+1,1))</f>
        <v>204000</v>
      </c>
    </row>
    <row r="9" spans="1:3" x14ac:dyDescent="0.2">
      <c r="A9" s="22" t="s">
        <v>103</v>
      </c>
      <c r="B9" s="15">
        <f>SUMIFS('Buku Penjualan'!$C$5:$C$49,'Buku Penjualan'!$A$5:$A$49,"&gt;="&amp;DATE($B$4,3,1),'Buku Penjualan'!$A$5:$A$49,"&lt;"&amp;DATE($B$4,3+1,1))</f>
        <v>0</v>
      </c>
      <c r="C9" s="15">
        <f>SUMIFS('Buku Penjualan'!$E$5:$E$49,'Buku Penjualan'!$A$5:$A$49,"&gt;="&amp;DATE($B$4,3,1),'Buku Penjualan'!$A$5:$A$49,"&lt;"&amp;DATE($B$4,3+1,1))</f>
        <v>0</v>
      </c>
    </row>
    <row r="10" spans="1:3" x14ac:dyDescent="0.2">
      <c r="A10" s="22" t="s">
        <v>104</v>
      </c>
      <c r="B10" s="15">
        <f>SUMIFS('Buku Penjualan'!$C$5:$C$49,'Buku Penjualan'!$A$5:$A$49,"&gt;="&amp;DATE($B$4,4,1),'Buku Penjualan'!$A$5:$A$49,"&lt;"&amp;DATE($B$4,4+1,1))</f>
        <v>0</v>
      </c>
      <c r="C10" s="15">
        <f>SUMIFS('Buku Penjualan'!$E$5:$E$49,'Buku Penjualan'!$A$5:$A$49,"&gt;="&amp;DATE($B$4,4,1),'Buku Penjualan'!$A$5:$A$49,"&lt;"&amp;DATE($B$4,4+1,1))</f>
        <v>0</v>
      </c>
    </row>
    <row r="11" spans="1:3" x14ac:dyDescent="0.2">
      <c r="A11" s="22" t="s">
        <v>105</v>
      </c>
      <c r="B11" s="15">
        <f>SUMIFS('Buku Penjualan'!$C$5:$C$49,'Buku Penjualan'!$A$5:$A$49,"&gt;="&amp;DATE($B$4,5,1),'Buku Penjualan'!$A$5:$A$49,"&lt;"&amp;DATE($B$4,5+1,1))</f>
        <v>0</v>
      </c>
      <c r="C11" s="15">
        <f>SUMIFS('Buku Penjualan'!$E$5:$E$49,'Buku Penjualan'!$A$5:$A$49,"&gt;="&amp;DATE($B$4,5,1),'Buku Penjualan'!$A$5:$A$49,"&lt;"&amp;DATE($B$4,5+1,1))</f>
        <v>0</v>
      </c>
    </row>
    <row r="12" spans="1:3" x14ac:dyDescent="0.2">
      <c r="A12" s="22" t="s">
        <v>106</v>
      </c>
      <c r="B12" s="15">
        <f>SUMIFS('Buku Penjualan'!$C$5:$C$49,'Buku Penjualan'!$A$5:$A$49,"&gt;="&amp;DATE($B$4,6,1),'Buku Penjualan'!$A$5:$A$49,"&lt;"&amp;DATE($B$4,6+1,1))</f>
        <v>0</v>
      </c>
      <c r="C12" s="15">
        <f>SUMIFS('Buku Penjualan'!$E$5:$E$49,'Buku Penjualan'!$A$5:$A$49,"&gt;="&amp;DATE($B$4,6,1),'Buku Penjualan'!$A$5:$A$49,"&lt;"&amp;DATE($B$4,6+1,1))</f>
        <v>0</v>
      </c>
    </row>
    <row r="13" spans="1:3" x14ac:dyDescent="0.2">
      <c r="A13" s="22" t="s">
        <v>107</v>
      </c>
      <c r="B13" s="15">
        <f>SUMIFS('Buku Penjualan'!$C$5:$C$49,'Buku Penjualan'!$A$5:$A$49,"&gt;="&amp;DATE($B$4,7,1),'Buku Penjualan'!$A$5:$A$49,"&lt;"&amp;DATE($B$4,7+1,1))</f>
        <v>0</v>
      </c>
      <c r="C13" s="15">
        <f>SUMIFS('Buku Penjualan'!$E$5:$E$49,'Buku Penjualan'!$A$5:$A$49,"&gt;="&amp;DATE($B$4,7,1),'Buku Penjualan'!$A$5:$A$49,"&lt;"&amp;DATE($B$4,7+1,1))</f>
        <v>0</v>
      </c>
    </row>
    <row r="14" spans="1:3" x14ac:dyDescent="0.2">
      <c r="A14" s="22" t="s">
        <v>108</v>
      </c>
      <c r="B14" s="15">
        <f>SUMIFS('Buku Penjualan'!$C$5:$C$49,'Buku Penjualan'!$A$5:$A$49,"&gt;="&amp;DATE($B$4,8,1),'Buku Penjualan'!$A$5:$A$49,"&lt;"&amp;DATE($B$4,8+1,1))</f>
        <v>0</v>
      </c>
      <c r="C14" s="15">
        <f>SUMIFS('Buku Penjualan'!$E$5:$E$49,'Buku Penjualan'!$A$5:$A$49,"&gt;="&amp;DATE($B$4,8,1),'Buku Penjualan'!$A$5:$A$49,"&lt;"&amp;DATE($B$4,8+1,1))</f>
        <v>0</v>
      </c>
    </row>
    <row r="15" spans="1:3" x14ac:dyDescent="0.2">
      <c r="A15" s="22" t="s">
        <v>109</v>
      </c>
      <c r="B15" s="15">
        <f>SUMIFS('Buku Penjualan'!$C$5:$C$49,'Buku Penjualan'!$A$5:$A$49,"&gt;="&amp;DATE($B$4,9,1),'Buku Penjualan'!$A$5:$A$49,"&lt;"&amp;DATE($B$4,9+1,1))</f>
        <v>0</v>
      </c>
      <c r="C15" s="15">
        <f>SUMIFS('Buku Penjualan'!$E$5:$E$49,'Buku Penjualan'!$A$5:$A$49,"&gt;="&amp;DATE($B$4,9,1),'Buku Penjualan'!$A$5:$A$49,"&lt;"&amp;DATE($B$4,9+1,1))</f>
        <v>0</v>
      </c>
    </row>
    <row r="16" spans="1:3" x14ac:dyDescent="0.2">
      <c r="A16" s="22" t="s">
        <v>110</v>
      </c>
      <c r="B16" s="15">
        <f>SUMIFS('Buku Penjualan'!$C$5:$C$49,'Buku Penjualan'!$A$5:$A$49,"&gt;="&amp;DATE($B$4,10,1),'Buku Penjualan'!$A$5:$A$49,"&lt;"&amp;DATE($B$4,10+1,1))</f>
        <v>0</v>
      </c>
      <c r="C16" s="15">
        <f>SUMIFS('Buku Penjualan'!$E$5:$E$49,'Buku Penjualan'!$A$5:$A$49,"&gt;="&amp;DATE($B$4,10,1),'Buku Penjualan'!$A$5:$A$49,"&lt;"&amp;DATE($B$4,10+1,1))</f>
        <v>0</v>
      </c>
    </row>
    <row r="17" spans="1:3" x14ac:dyDescent="0.2">
      <c r="A17" s="22" t="s">
        <v>111</v>
      </c>
      <c r="B17" s="15">
        <f>SUMIFS('Buku Penjualan'!$C$5:$C$49,'Buku Penjualan'!$A$5:$A$49,"&gt;="&amp;DATE($B$4,11,1),'Buku Penjualan'!$A$5:$A$49,"&lt;"&amp;DATE($B$4,11+1,1))</f>
        <v>0</v>
      </c>
      <c r="C17" s="15">
        <f>SUMIFS('Buku Penjualan'!$E$5:$E$49,'Buku Penjualan'!$A$5:$A$49,"&gt;="&amp;DATE($B$4,11,1),'Buku Penjualan'!$A$5:$A$49,"&lt;"&amp;DATE($B$4,11+1,1))</f>
        <v>0</v>
      </c>
    </row>
    <row r="18" spans="1:3" x14ac:dyDescent="0.2">
      <c r="A18" s="22" t="s">
        <v>112</v>
      </c>
      <c r="B18" s="15">
        <f>SUMIFS('Buku Penjualan'!$C$5:$C$49,'Buku Penjualan'!$A$5:$A$49,"&gt;="&amp;DATE($B$4,12,1),'Buku Penjualan'!$A$5:$A$49,"&lt;"&amp;DATE($B$4,12+1,1))</f>
        <v>0</v>
      </c>
      <c r="C18" s="15">
        <f>SUMIFS('Buku Penjualan'!$E$5:$E$49,'Buku Penjualan'!$A$5:$A$49,"&gt;="&amp;DATE($B$4,12,1),'Buku Penjualan'!$A$5:$A$49,"&lt;"&amp;DATE($B$4,12+1,1))</f>
        <v>0</v>
      </c>
    </row>
    <row r="19" spans="1:3" x14ac:dyDescent="0.2">
      <c r="A19" s="16" t="s">
        <v>98</v>
      </c>
      <c r="B19" s="17">
        <f>SUM(B7:B18)</f>
        <v>30</v>
      </c>
      <c r="C19" s="17">
        <f>SUM(C7:C18)</f>
        <v>474000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421875" defaultRowHeight="15" x14ac:dyDescent="0.2"/>
  <cols>
    <col min="1" max="1" width="13.046875" customWidth="1"/>
    <col min="2" max="2" width="29.99609375" customWidth="1"/>
    <col min="3" max="3" width="22.05859375" customWidth="1"/>
    <col min="4" max="5" width="14.9296875" customWidth="1"/>
    <col min="6" max="6" width="16.0078125" customWidth="1"/>
  </cols>
  <sheetData>
    <row r="1" spans="1:6" ht="20.25" x14ac:dyDescent="0.25">
      <c r="A1" s="2" t="s">
        <v>113</v>
      </c>
    </row>
    <row r="2" spans="1:6" x14ac:dyDescent="0.2">
      <c r="A2" s="3" t="s">
        <v>114</v>
      </c>
    </row>
    <row r="4" spans="1:6" ht="30" customHeight="1" x14ac:dyDescent="0.2">
      <c r="A4" s="24" t="s">
        <v>26</v>
      </c>
      <c r="B4" s="24" t="s">
        <v>115</v>
      </c>
      <c r="C4" s="24" t="s">
        <v>116</v>
      </c>
      <c r="D4" s="24" t="s">
        <v>117</v>
      </c>
      <c r="E4" s="24" t="s">
        <v>118</v>
      </c>
      <c r="F4" s="24" t="s">
        <v>119</v>
      </c>
    </row>
    <row r="5" spans="1:6" x14ac:dyDescent="0.2">
      <c r="A5" s="9">
        <v>46023</v>
      </c>
      <c r="B5" s="10" t="s">
        <v>120</v>
      </c>
      <c r="C5" s="10" t="s">
        <v>121</v>
      </c>
      <c r="D5" s="11">
        <v>2000000</v>
      </c>
      <c r="E5" s="11"/>
      <c r="F5" s="11">
        <f>D5-E5</f>
        <v>2000000</v>
      </c>
    </row>
    <row r="6" spans="1:6" x14ac:dyDescent="0.2">
      <c r="A6" s="9">
        <v>46025</v>
      </c>
      <c r="B6" s="10" t="s">
        <v>122</v>
      </c>
      <c r="C6" s="10" t="s">
        <v>123</v>
      </c>
      <c r="D6" s="11"/>
      <c r="E6" s="11">
        <v>250000</v>
      </c>
      <c r="F6" s="11">
        <f>F5+D6-E6</f>
        <v>1750000</v>
      </c>
    </row>
    <row r="7" spans="1:6" x14ac:dyDescent="0.2">
      <c r="A7" s="9">
        <v>46028</v>
      </c>
      <c r="B7" s="10" t="s">
        <v>124</v>
      </c>
      <c r="C7" s="10" t="s">
        <v>125</v>
      </c>
      <c r="D7" s="11"/>
      <c r="E7" s="11">
        <v>30000</v>
      </c>
      <c r="F7" s="11">
        <f>F6+D7-E7</f>
        <v>1720000</v>
      </c>
    </row>
    <row r="8" spans="1:6" x14ac:dyDescent="0.2">
      <c r="A8" s="12"/>
      <c r="B8" s="13"/>
      <c r="C8" s="13"/>
      <c r="D8" s="14"/>
      <c r="E8" s="14"/>
      <c r="F8" s="15">
        <f>F7+D8-E8</f>
        <v>1720000</v>
      </c>
    </row>
    <row r="9" spans="1:6" x14ac:dyDescent="0.2">
      <c r="A9" s="12"/>
      <c r="B9" s="13"/>
      <c r="C9" s="13"/>
      <c r="D9" s="14"/>
      <c r="E9" s="14"/>
      <c r="F9" s="15">
        <f>F8+D9-E9</f>
        <v>1720000</v>
      </c>
    </row>
    <row r="10" spans="1:6" x14ac:dyDescent="0.2">
      <c r="A10" s="12"/>
      <c r="B10" s="13"/>
      <c r="C10" s="13"/>
      <c r="D10" s="14"/>
      <c r="E10" s="14"/>
      <c r="F10" s="15">
        <f>F9+D10-E10</f>
        <v>1720000</v>
      </c>
    </row>
    <row r="11" spans="1:6" x14ac:dyDescent="0.2">
      <c r="A11" s="12"/>
      <c r="B11" s="13"/>
      <c r="C11" s="13"/>
      <c r="D11" s="14"/>
      <c r="E11" s="14"/>
      <c r="F11" s="15">
        <f>F10+D11-E11</f>
        <v>1720000</v>
      </c>
    </row>
    <row r="12" spans="1:6" x14ac:dyDescent="0.2">
      <c r="A12" s="12"/>
      <c r="B12" s="13"/>
      <c r="C12" s="13"/>
      <c r="D12" s="14"/>
      <c r="E12" s="14"/>
      <c r="F12" s="15">
        <f>F11+D12-E12</f>
        <v>1720000</v>
      </c>
    </row>
    <row r="13" spans="1:6" x14ac:dyDescent="0.2">
      <c r="A13" s="12"/>
      <c r="B13" s="13"/>
      <c r="C13" s="13"/>
      <c r="D13" s="14"/>
      <c r="E13" s="14"/>
      <c r="F13" s="15">
        <f>F12+D13-E13</f>
        <v>1720000</v>
      </c>
    </row>
    <row r="14" spans="1:6" x14ac:dyDescent="0.2">
      <c r="A14" s="12"/>
      <c r="B14" s="13"/>
      <c r="C14" s="13"/>
      <c r="D14" s="14"/>
      <c r="E14" s="14"/>
      <c r="F14" s="15">
        <f>F13+D14-E14</f>
        <v>1720000</v>
      </c>
    </row>
    <row r="15" spans="1:6" x14ac:dyDescent="0.2">
      <c r="A15" s="12"/>
      <c r="B15" s="13"/>
      <c r="C15" s="13"/>
      <c r="D15" s="14"/>
      <c r="E15" s="14"/>
      <c r="F15" s="15">
        <f>F14+D15-E15</f>
        <v>1720000</v>
      </c>
    </row>
    <row r="16" spans="1:6" x14ac:dyDescent="0.2">
      <c r="A16" s="12"/>
      <c r="B16" s="13"/>
      <c r="C16" s="13"/>
      <c r="D16" s="14"/>
      <c r="E16" s="14"/>
      <c r="F16" s="15">
        <f>F15+D16-E16</f>
        <v>1720000</v>
      </c>
    </row>
    <row r="17" spans="1:6" x14ac:dyDescent="0.2">
      <c r="A17" s="12"/>
      <c r="B17" s="13"/>
      <c r="C17" s="13"/>
      <c r="D17" s="14"/>
      <c r="E17" s="14"/>
      <c r="F17" s="15">
        <f>F16+D17-E17</f>
        <v>1720000</v>
      </c>
    </row>
    <row r="18" spans="1:6" x14ac:dyDescent="0.2">
      <c r="A18" s="12"/>
      <c r="B18" s="13"/>
      <c r="C18" s="13"/>
      <c r="D18" s="14"/>
      <c r="E18" s="14"/>
      <c r="F18" s="15">
        <f>F17+D18-E18</f>
        <v>1720000</v>
      </c>
    </row>
    <row r="19" spans="1:6" x14ac:dyDescent="0.2">
      <c r="A19" s="12"/>
      <c r="B19" s="13"/>
      <c r="C19" s="13"/>
      <c r="D19" s="14"/>
      <c r="E19" s="14"/>
      <c r="F19" s="15">
        <f>F18+D19-E19</f>
        <v>1720000</v>
      </c>
    </row>
    <row r="20" spans="1:6" x14ac:dyDescent="0.2">
      <c r="A20" s="12"/>
      <c r="B20" s="13"/>
      <c r="C20" s="13"/>
      <c r="D20" s="14"/>
      <c r="E20" s="14"/>
      <c r="F20" s="15">
        <f>F19+D20-E20</f>
        <v>1720000</v>
      </c>
    </row>
    <row r="21" spans="1:6" x14ac:dyDescent="0.2">
      <c r="A21" s="12"/>
      <c r="B21" s="13"/>
      <c r="C21" s="13"/>
      <c r="D21" s="14"/>
      <c r="E21" s="14"/>
      <c r="F21" s="15">
        <f>F20+D21-E21</f>
        <v>1720000</v>
      </c>
    </row>
    <row r="22" spans="1:6" x14ac:dyDescent="0.2">
      <c r="A22" s="12"/>
      <c r="B22" s="13"/>
      <c r="C22" s="13"/>
      <c r="D22" s="14"/>
      <c r="E22" s="14"/>
      <c r="F22" s="15">
        <f>F21+D22-E22</f>
        <v>1720000</v>
      </c>
    </row>
    <row r="23" spans="1:6" x14ac:dyDescent="0.2">
      <c r="A23" s="12"/>
      <c r="B23" s="13"/>
      <c r="C23" s="13"/>
      <c r="D23" s="14"/>
      <c r="E23" s="14"/>
      <c r="F23" s="15">
        <f>F22+D23-E23</f>
        <v>1720000</v>
      </c>
    </row>
    <row r="24" spans="1:6" x14ac:dyDescent="0.2">
      <c r="A24" s="12"/>
      <c r="B24" s="13"/>
      <c r="C24" s="13"/>
      <c r="D24" s="14"/>
      <c r="E24" s="14"/>
      <c r="F24" s="15">
        <f>F23+D24-E24</f>
        <v>1720000</v>
      </c>
    </row>
    <row r="25" spans="1:6" x14ac:dyDescent="0.2">
      <c r="A25" s="12"/>
      <c r="B25" s="13"/>
      <c r="C25" s="13"/>
      <c r="D25" s="14"/>
      <c r="E25" s="14"/>
      <c r="F25" s="15">
        <f>F24+D25-E25</f>
        <v>1720000</v>
      </c>
    </row>
    <row r="26" spans="1:6" x14ac:dyDescent="0.2">
      <c r="A26" s="12"/>
      <c r="B26" s="13"/>
      <c r="C26" s="13"/>
      <c r="D26" s="14"/>
      <c r="E26" s="14"/>
      <c r="F26" s="15">
        <f>F25+D26-E26</f>
        <v>1720000</v>
      </c>
    </row>
    <row r="27" spans="1:6" x14ac:dyDescent="0.2">
      <c r="A27" s="12"/>
      <c r="B27" s="13"/>
      <c r="C27" s="13"/>
      <c r="D27" s="14"/>
      <c r="E27" s="14"/>
      <c r="F27" s="15">
        <f>F26+D27-E27</f>
        <v>1720000</v>
      </c>
    </row>
    <row r="28" spans="1:6" x14ac:dyDescent="0.2">
      <c r="A28" s="12"/>
      <c r="B28" s="13"/>
      <c r="C28" s="13"/>
      <c r="D28" s="14"/>
      <c r="E28" s="14"/>
      <c r="F28" s="15">
        <f>F27+D28-E28</f>
        <v>1720000</v>
      </c>
    </row>
    <row r="29" spans="1:6" x14ac:dyDescent="0.2">
      <c r="A29" s="12"/>
      <c r="B29" s="13"/>
      <c r="C29" s="13"/>
      <c r="D29" s="14"/>
      <c r="E29" s="14"/>
      <c r="F29" s="15">
        <f>F28+D29-E29</f>
        <v>1720000</v>
      </c>
    </row>
    <row r="30" spans="1:6" x14ac:dyDescent="0.2">
      <c r="A30" s="12"/>
      <c r="B30" s="13"/>
      <c r="C30" s="13"/>
      <c r="D30" s="14"/>
      <c r="E30" s="14"/>
      <c r="F30" s="15">
        <f>F29+D30-E30</f>
        <v>1720000</v>
      </c>
    </row>
    <row r="31" spans="1:6" x14ac:dyDescent="0.2">
      <c r="A31" s="12"/>
      <c r="B31" s="13"/>
      <c r="C31" s="13"/>
      <c r="D31" s="14"/>
      <c r="E31" s="14"/>
      <c r="F31" s="15">
        <f>F30+D31-E31</f>
        <v>1720000</v>
      </c>
    </row>
    <row r="32" spans="1:6" x14ac:dyDescent="0.2">
      <c r="A32" s="12"/>
      <c r="B32" s="13"/>
      <c r="C32" s="13"/>
      <c r="D32" s="14"/>
      <c r="E32" s="14"/>
      <c r="F32" s="15">
        <f>F31+D32-E32</f>
        <v>1720000</v>
      </c>
    </row>
    <row r="33" spans="1:6" x14ac:dyDescent="0.2">
      <c r="A33" s="12"/>
      <c r="B33" s="13"/>
      <c r="C33" s="13"/>
      <c r="D33" s="14"/>
      <c r="E33" s="14"/>
      <c r="F33" s="15">
        <f>F32+D33-E33</f>
        <v>1720000</v>
      </c>
    </row>
    <row r="34" spans="1:6" x14ac:dyDescent="0.2">
      <c r="A34" s="12"/>
      <c r="B34" s="13"/>
      <c r="C34" s="13"/>
      <c r="D34" s="14"/>
      <c r="E34" s="14"/>
      <c r="F34" s="15">
        <f>F33+D34-E34</f>
        <v>1720000</v>
      </c>
    </row>
    <row r="35" spans="1:6" x14ac:dyDescent="0.2">
      <c r="A35" s="12"/>
      <c r="B35" s="13"/>
      <c r="C35" s="13"/>
      <c r="D35" s="14"/>
      <c r="E35" s="14"/>
      <c r="F35" s="15">
        <f>F34+D35-E35</f>
        <v>1720000</v>
      </c>
    </row>
    <row r="36" spans="1:6" x14ac:dyDescent="0.2">
      <c r="A36" s="12"/>
      <c r="B36" s="13"/>
      <c r="C36" s="13"/>
      <c r="D36" s="14"/>
      <c r="E36" s="14"/>
      <c r="F36" s="15">
        <f>F35+D36-E36</f>
        <v>1720000</v>
      </c>
    </row>
    <row r="37" spans="1:6" x14ac:dyDescent="0.2">
      <c r="A37" s="12"/>
      <c r="B37" s="13"/>
      <c r="C37" s="13"/>
      <c r="D37" s="14"/>
      <c r="E37" s="14"/>
      <c r="F37" s="15">
        <f>F36+D37-E37</f>
        <v>1720000</v>
      </c>
    </row>
    <row r="38" spans="1:6" x14ac:dyDescent="0.2">
      <c r="A38" s="12"/>
      <c r="B38" s="13"/>
      <c r="C38" s="13"/>
      <c r="D38" s="14"/>
      <c r="E38" s="14"/>
      <c r="F38" s="15">
        <f>F37+D38-E38</f>
        <v>1720000</v>
      </c>
    </row>
    <row r="39" spans="1:6" x14ac:dyDescent="0.2">
      <c r="A39" s="12"/>
      <c r="B39" s="13"/>
      <c r="C39" s="13"/>
      <c r="D39" s="14"/>
      <c r="E39" s="14"/>
      <c r="F39" s="15">
        <f>F38+D39-E39</f>
        <v>1720000</v>
      </c>
    </row>
    <row r="40" spans="1:6" x14ac:dyDescent="0.2">
      <c r="A40" s="12"/>
      <c r="B40" s="13"/>
      <c r="C40" s="13"/>
      <c r="D40" s="14"/>
      <c r="E40" s="14"/>
      <c r="F40" s="15">
        <f>F39+D40-E40</f>
        <v>1720000</v>
      </c>
    </row>
    <row r="41" spans="1:6" x14ac:dyDescent="0.2">
      <c r="A41" s="12"/>
      <c r="B41" s="13"/>
      <c r="C41" s="13"/>
      <c r="D41" s="14"/>
      <c r="E41" s="14"/>
      <c r="F41" s="15">
        <f>F40+D41-E41</f>
        <v>1720000</v>
      </c>
    </row>
    <row r="42" spans="1:6" x14ac:dyDescent="0.2">
      <c r="A42" s="12"/>
      <c r="B42" s="13"/>
      <c r="C42" s="13"/>
      <c r="D42" s="14"/>
      <c r="E42" s="14"/>
      <c r="F42" s="15">
        <f>F41+D42-E42</f>
        <v>1720000</v>
      </c>
    </row>
    <row r="43" spans="1:6" x14ac:dyDescent="0.2">
      <c r="A43" s="12"/>
      <c r="B43" s="13"/>
      <c r="C43" s="13"/>
      <c r="D43" s="14"/>
      <c r="E43" s="14"/>
      <c r="F43" s="15">
        <f>F42+D43-E43</f>
        <v>1720000</v>
      </c>
    </row>
    <row r="44" spans="1:6" x14ac:dyDescent="0.2">
      <c r="A44" s="12"/>
      <c r="B44" s="13"/>
      <c r="C44" s="13"/>
      <c r="D44" s="14"/>
      <c r="E44" s="14"/>
      <c r="F44" s="15">
        <f>F43+D44-E44</f>
        <v>1720000</v>
      </c>
    </row>
    <row r="45" spans="1:6" x14ac:dyDescent="0.2">
      <c r="A45" s="16"/>
      <c r="B45" s="16" t="s">
        <v>33</v>
      </c>
      <c r="C45" s="16"/>
      <c r="D45" s="17">
        <f>SUM(D6:D44)</f>
        <v>0</v>
      </c>
      <c r="E45" s="17">
        <f>SUM(E6:E44)</f>
        <v>280000</v>
      </c>
      <c r="F45" s="17">
        <f>F44</f>
        <v>1720000</v>
      </c>
    </row>
    <row r="47" spans="1:6" x14ac:dyDescent="0.2">
      <c r="A47" s="18" t="s">
        <v>34</v>
      </c>
    </row>
    <row r="48" spans="1:6" x14ac:dyDescent="0.2">
      <c r="A48" s="19" t="s">
        <v>35</v>
      </c>
    </row>
  </sheetData>
  <dataValidations count="1">
    <dataValidation type="list" allowBlank="1" sqref="C5:C44" xr:uid="{00000000-0002-0000-0400-000000000000}">
      <formula1>"Modal,Pendapatan Lain,Pembelian Bahan Baku,Transport,Operasional,Gaji/Upah,Prive/Pribadi,Lain-lain"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421875" defaultRowHeight="15" x14ac:dyDescent="0.2"/>
  <cols>
    <col min="1" max="1" width="13.046875" customWidth="1"/>
    <col min="2" max="2" width="20.04296875" customWidth="1"/>
    <col min="3" max="3" width="11.97265625" customWidth="1"/>
    <col min="4" max="4" width="29.99609375" customWidth="1"/>
    <col min="5" max="5" width="14.9296875" customWidth="1"/>
    <col min="6" max="6" width="13.98828125" customWidth="1"/>
    <col min="7" max="7" width="14.9296875" customWidth="1"/>
  </cols>
  <sheetData>
    <row r="1" spans="1:7" ht="20.25" x14ac:dyDescent="0.25">
      <c r="A1" s="2" t="s">
        <v>126</v>
      </c>
    </row>
    <row r="2" spans="1:7" x14ac:dyDescent="0.2">
      <c r="A2" s="3" t="s">
        <v>127</v>
      </c>
    </row>
    <row r="4" spans="1:7" ht="30" customHeight="1" x14ac:dyDescent="0.2">
      <c r="A4" s="24" t="s">
        <v>26</v>
      </c>
      <c r="B4" s="24" t="s">
        <v>128</v>
      </c>
      <c r="C4" s="24" t="s">
        <v>129</v>
      </c>
      <c r="D4" s="24" t="s">
        <v>115</v>
      </c>
      <c r="E4" s="24" t="s">
        <v>130</v>
      </c>
      <c r="F4" s="24" t="s">
        <v>131</v>
      </c>
      <c r="G4" s="24" t="s">
        <v>132</v>
      </c>
    </row>
    <row r="5" spans="1:7" x14ac:dyDescent="0.2">
      <c r="A5" s="9">
        <v>46027</v>
      </c>
      <c r="B5" s="10" t="s">
        <v>133</v>
      </c>
      <c r="C5" s="10" t="s">
        <v>134</v>
      </c>
      <c r="D5" s="10" t="s">
        <v>135</v>
      </c>
      <c r="E5" s="11">
        <v>300000</v>
      </c>
      <c r="F5" s="10" t="s">
        <v>136</v>
      </c>
      <c r="G5" s="9"/>
    </row>
    <row r="6" spans="1:7" x14ac:dyDescent="0.2">
      <c r="A6" s="9">
        <v>46028</v>
      </c>
      <c r="B6" s="10" t="s">
        <v>137</v>
      </c>
      <c r="C6" s="10" t="s">
        <v>138</v>
      </c>
      <c r="D6" s="10" t="s">
        <v>139</v>
      </c>
      <c r="E6" s="11">
        <v>150000</v>
      </c>
      <c r="F6" s="10" t="s">
        <v>136</v>
      </c>
      <c r="G6" s="9"/>
    </row>
    <row r="7" spans="1:7" x14ac:dyDescent="0.2">
      <c r="A7" s="12"/>
      <c r="B7" s="13"/>
      <c r="C7" s="13"/>
      <c r="D7" s="13"/>
      <c r="E7" s="14"/>
      <c r="F7" s="13"/>
      <c r="G7" s="12"/>
    </row>
    <row r="8" spans="1:7" x14ac:dyDescent="0.2">
      <c r="A8" s="12"/>
      <c r="B8" s="13"/>
      <c r="C8" s="13"/>
      <c r="D8" s="13"/>
      <c r="E8" s="14"/>
      <c r="F8" s="13"/>
      <c r="G8" s="12"/>
    </row>
    <row r="9" spans="1:7" x14ac:dyDescent="0.2">
      <c r="A9" s="12"/>
      <c r="B9" s="13"/>
      <c r="C9" s="13"/>
      <c r="D9" s="13"/>
      <c r="E9" s="14"/>
      <c r="F9" s="13"/>
      <c r="G9" s="12"/>
    </row>
    <row r="10" spans="1:7" x14ac:dyDescent="0.2">
      <c r="A10" s="12"/>
      <c r="B10" s="13"/>
      <c r="C10" s="13"/>
      <c r="D10" s="13"/>
      <c r="E10" s="14"/>
      <c r="F10" s="13"/>
      <c r="G10" s="12"/>
    </row>
    <row r="11" spans="1:7" x14ac:dyDescent="0.2">
      <c r="A11" s="12"/>
      <c r="B11" s="13"/>
      <c r="C11" s="13"/>
      <c r="D11" s="13"/>
      <c r="E11" s="14"/>
      <c r="F11" s="13"/>
      <c r="G11" s="12"/>
    </row>
    <row r="12" spans="1:7" x14ac:dyDescent="0.2">
      <c r="A12" s="12"/>
      <c r="B12" s="13"/>
      <c r="C12" s="13"/>
      <c r="D12" s="13"/>
      <c r="E12" s="14"/>
      <c r="F12" s="13"/>
      <c r="G12" s="12"/>
    </row>
    <row r="13" spans="1:7" x14ac:dyDescent="0.2">
      <c r="A13" s="12"/>
      <c r="B13" s="13"/>
      <c r="C13" s="13"/>
      <c r="D13" s="13"/>
      <c r="E13" s="14"/>
      <c r="F13" s="13"/>
      <c r="G13" s="12"/>
    </row>
    <row r="14" spans="1:7" x14ac:dyDescent="0.2">
      <c r="A14" s="12"/>
      <c r="B14" s="13"/>
      <c r="C14" s="13"/>
      <c r="D14" s="13"/>
      <c r="E14" s="14"/>
      <c r="F14" s="13"/>
      <c r="G14" s="12"/>
    </row>
    <row r="15" spans="1:7" x14ac:dyDescent="0.2">
      <c r="A15" s="12"/>
      <c r="B15" s="13"/>
      <c r="C15" s="13"/>
      <c r="D15" s="13"/>
      <c r="E15" s="14"/>
      <c r="F15" s="13"/>
      <c r="G15" s="12"/>
    </row>
    <row r="16" spans="1:7" x14ac:dyDescent="0.2">
      <c r="A16" s="12"/>
      <c r="B16" s="13"/>
      <c r="C16" s="13"/>
      <c r="D16" s="13"/>
      <c r="E16" s="14"/>
      <c r="F16" s="13"/>
      <c r="G16" s="12"/>
    </row>
    <row r="17" spans="1:7" x14ac:dyDescent="0.2">
      <c r="A17" s="12"/>
      <c r="B17" s="13"/>
      <c r="C17" s="13"/>
      <c r="D17" s="13"/>
      <c r="E17" s="14"/>
      <c r="F17" s="13"/>
      <c r="G17" s="12"/>
    </row>
    <row r="18" spans="1:7" x14ac:dyDescent="0.2">
      <c r="A18" s="12"/>
      <c r="B18" s="13"/>
      <c r="C18" s="13"/>
      <c r="D18" s="13"/>
      <c r="E18" s="14"/>
      <c r="F18" s="13"/>
      <c r="G18" s="12"/>
    </row>
    <row r="19" spans="1:7" x14ac:dyDescent="0.2">
      <c r="A19" s="12"/>
      <c r="B19" s="13"/>
      <c r="C19" s="13"/>
      <c r="D19" s="13"/>
      <c r="E19" s="14"/>
      <c r="F19" s="13"/>
      <c r="G19" s="12"/>
    </row>
    <row r="20" spans="1:7" x14ac:dyDescent="0.2">
      <c r="A20" s="12"/>
      <c r="B20" s="13"/>
      <c r="C20" s="13"/>
      <c r="D20" s="13"/>
      <c r="E20" s="14"/>
      <c r="F20" s="13"/>
      <c r="G20" s="12"/>
    </row>
    <row r="21" spans="1:7" x14ac:dyDescent="0.2">
      <c r="A21" s="12"/>
      <c r="B21" s="13"/>
      <c r="C21" s="13"/>
      <c r="D21" s="13"/>
      <c r="E21" s="14"/>
      <c r="F21" s="13"/>
      <c r="G21" s="12"/>
    </row>
    <row r="22" spans="1:7" x14ac:dyDescent="0.2">
      <c r="A22" s="12"/>
      <c r="B22" s="13"/>
      <c r="C22" s="13"/>
      <c r="D22" s="13"/>
      <c r="E22" s="14"/>
      <c r="F22" s="13"/>
      <c r="G22" s="12"/>
    </row>
    <row r="23" spans="1:7" x14ac:dyDescent="0.2">
      <c r="A23" s="12"/>
      <c r="B23" s="13"/>
      <c r="C23" s="13"/>
      <c r="D23" s="13"/>
      <c r="E23" s="14"/>
      <c r="F23" s="13"/>
      <c r="G23" s="12"/>
    </row>
    <row r="24" spans="1:7" x14ac:dyDescent="0.2">
      <c r="A24" s="12"/>
      <c r="B24" s="13"/>
      <c r="C24" s="13"/>
      <c r="D24" s="13"/>
      <c r="E24" s="14"/>
      <c r="F24" s="13"/>
      <c r="G24" s="12"/>
    </row>
    <row r="25" spans="1:7" x14ac:dyDescent="0.2">
      <c r="A25" s="12"/>
      <c r="B25" s="13"/>
      <c r="C25" s="13"/>
      <c r="D25" s="13"/>
      <c r="E25" s="14"/>
      <c r="F25" s="13"/>
      <c r="G25" s="12"/>
    </row>
    <row r="26" spans="1:7" x14ac:dyDescent="0.2">
      <c r="A26" s="12"/>
      <c r="B26" s="13"/>
      <c r="C26" s="13"/>
      <c r="D26" s="13"/>
      <c r="E26" s="14"/>
      <c r="F26" s="13"/>
      <c r="G26" s="12"/>
    </row>
    <row r="27" spans="1:7" x14ac:dyDescent="0.2">
      <c r="A27" s="12"/>
      <c r="B27" s="13"/>
      <c r="C27" s="13"/>
      <c r="D27" s="13"/>
      <c r="E27" s="14"/>
      <c r="F27" s="13"/>
      <c r="G27" s="12"/>
    </row>
    <row r="28" spans="1:7" x14ac:dyDescent="0.2">
      <c r="A28" s="12"/>
      <c r="B28" s="13"/>
      <c r="C28" s="13"/>
      <c r="D28" s="13"/>
      <c r="E28" s="14"/>
      <c r="F28" s="13"/>
      <c r="G28" s="12"/>
    </row>
    <row r="29" spans="1:7" x14ac:dyDescent="0.2">
      <c r="A29" s="12"/>
      <c r="B29" s="13"/>
      <c r="C29" s="13"/>
      <c r="D29" s="13"/>
      <c r="E29" s="14"/>
      <c r="F29" s="13"/>
      <c r="G29" s="12"/>
    </row>
    <row r="31" spans="1:7" x14ac:dyDescent="0.2">
      <c r="A31" s="25" t="s">
        <v>140</v>
      </c>
      <c r="E31" s="26">
        <f>SUMIFS(E5:E29,C5:C29,"Piutang",F5:F29,"Belum Lunas")</f>
        <v>150000</v>
      </c>
    </row>
    <row r="32" spans="1:7" x14ac:dyDescent="0.2">
      <c r="A32" s="25" t="s">
        <v>141</v>
      </c>
      <c r="E32" s="26">
        <f>SUMIFS(E5:E29,C5:C29,"Hutang",F5:F29,"Belum Lunas")</f>
        <v>300000</v>
      </c>
    </row>
  </sheetData>
  <dataValidations count="2">
    <dataValidation type="list" allowBlank="1" sqref="C5:C29" xr:uid="{00000000-0002-0000-0500-000000000000}">
      <formula1>"Piutang,Hutang"</formula1>
      <formula2>0</formula2>
    </dataValidation>
    <dataValidation type="list" allowBlank="1" sqref="F5:F29" xr:uid="{00000000-0002-0000-0500-000001000000}">
      <formula1>"Belum Lunas,Lunas"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"/>
  <sheetViews>
    <sheetView showGridLines="0" zoomScaleNormal="100" workbookViewId="0">
      <pane ySplit="6" topLeftCell="A7" activePane="bottomLeft" state="frozen"/>
      <selection pane="bottomLeft"/>
    </sheetView>
  </sheetViews>
  <sheetFormatPr defaultColWidth="8.7421875" defaultRowHeight="15" x14ac:dyDescent="0.2"/>
  <cols>
    <col min="1" max="1" width="13.98828125" customWidth="1"/>
    <col min="2" max="3" width="18.0234375" customWidth="1"/>
    <col min="4" max="4" width="20.04296875" customWidth="1"/>
    <col min="5" max="5" width="16.0078125" customWidth="1"/>
    <col min="6" max="6" width="18.0234375" customWidth="1"/>
  </cols>
  <sheetData>
    <row r="1" spans="1:6" ht="20.25" x14ac:dyDescent="0.25">
      <c r="A1" s="27" t="s">
        <v>142</v>
      </c>
    </row>
    <row r="2" spans="1:6" x14ac:dyDescent="0.2">
      <c r="A2" s="3" t="s">
        <v>143</v>
      </c>
    </row>
    <row r="4" spans="1:6" x14ac:dyDescent="0.2">
      <c r="A4" s="20" t="s">
        <v>38</v>
      </c>
      <c r="B4" s="21">
        <v>2026</v>
      </c>
    </row>
    <row r="6" spans="1:6" ht="33.75" customHeight="1" x14ac:dyDescent="0.2">
      <c r="A6" s="28" t="s">
        <v>100</v>
      </c>
      <c r="B6" s="28" t="s">
        <v>144</v>
      </c>
      <c r="C6" s="28" t="s">
        <v>145</v>
      </c>
      <c r="D6" s="28" t="s">
        <v>146</v>
      </c>
      <c r="E6" s="28" t="s">
        <v>147</v>
      </c>
      <c r="F6" s="28" t="s">
        <v>148</v>
      </c>
    </row>
    <row r="7" spans="1:6" x14ac:dyDescent="0.2">
      <c r="A7" s="22" t="s">
        <v>101</v>
      </c>
      <c r="B7" s="15">
        <f>SUMIFS('Buku Penjualan'!$E$5:$E$49,'Buku Penjualan'!$A$5:$A$49,"&gt;="&amp;DATE($B$4,1,1),'Buku Penjualan'!$A$5:$A$49,"&lt;"&amp;DATE($B$4,1+1,1))</f>
        <v>270000</v>
      </c>
      <c r="C7" s="15">
        <f>SUMIFS('Buku Kas Operasional'!$D$5:$D$44,'Buku Kas Operasional'!$C$5:$C$44,"Pendapatan Lain",'Buku Kas Operasional'!$A$5:$A$44,"&gt;="&amp;DATE($B$4,1,1),'Buku Kas Operasional'!$A$5:$A$44,"&lt;"&amp;DATE($B$4,1+1,1))</f>
        <v>0</v>
      </c>
      <c r="D7" s="15">
        <f>SUMIFS('Buku Kas Operasional'!$E$5:$E$44,'Buku Kas Operasional'!$C$5:$C$44,"&lt;&gt;Prive/Pribadi",'Buku Kas Operasional'!$A$5:$A$44,"&gt;="&amp;DATE($B$4,1,1),'Buku Kas Operasional'!$A$5:$A$44,"&lt;"&amp;DATE($B$4,1+1,1))</f>
        <v>280000</v>
      </c>
      <c r="E7" s="15">
        <f>SUMIFS('Buku Kas Operasional'!$E$5:$E$44,'Buku Kas Operasional'!$C$5:$C$44,"Prive/Pribadi",'Buku Kas Operasional'!$A$5:$A$44,"&gt;="&amp;DATE($B$4,1,1),'Buku Kas Operasional'!$A$5:$A$44,"&lt;"&amp;DATE($B$4,1+1,1))</f>
        <v>0</v>
      </c>
      <c r="F7" s="29">
        <f>B7+C7-D7</f>
        <v>-10000</v>
      </c>
    </row>
    <row r="8" spans="1:6" x14ac:dyDescent="0.2">
      <c r="A8" s="22" t="s">
        <v>102</v>
      </c>
      <c r="B8" s="15">
        <f>SUMIFS('Buku Penjualan'!$E$5:$E$49,'Buku Penjualan'!$A$5:$A$49,"&gt;="&amp;DATE($B$4,2,1),'Buku Penjualan'!$A$5:$A$49,"&lt;"&amp;DATE($B$4,2+1,1))</f>
        <v>204000</v>
      </c>
      <c r="C8" s="15">
        <f>SUMIFS('Buku Kas Operasional'!$D$5:$D$44,'Buku Kas Operasional'!$C$5:$C$44,"Pendapatan Lain",'Buku Kas Operasional'!$A$5:$A$44,"&gt;="&amp;DATE($B$4,2,1),'Buku Kas Operasional'!$A$5:$A$44,"&lt;"&amp;DATE($B$4,2+1,1))</f>
        <v>0</v>
      </c>
      <c r="D8" s="15">
        <f>SUMIFS('Buku Kas Operasional'!$E$5:$E$44,'Buku Kas Operasional'!$C$5:$C$44,"&lt;&gt;Prive/Pribadi",'Buku Kas Operasional'!$A$5:$A$44,"&gt;="&amp;DATE($B$4,2,1),'Buku Kas Operasional'!$A$5:$A$44,"&lt;"&amp;DATE($B$4,2+1,1))</f>
        <v>0</v>
      </c>
      <c r="E8" s="15">
        <f>SUMIFS('Buku Kas Operasional'!$E$5:$E$44,'Buku Kas Operasional'!$C$5:$C$44,"Prive/Pribadi",'Buku Kas Operasional'!$A$5:$A$44,"&gt;="&amp;DATE($B$4,2,1),'Buku Kas Operasional'!$A$5:$A$44,"&lt;"&amp;DATE($B$4,2+1,1))</f>
        <v>0</v>
      </c>
      <c r="F8" s="29">
        <f>B8+C8-D8</f>
        <v>204000</v>
      </c>
    </row>
    <row r="9" spans="1:6" x14ac:dyDescent="0.2">
      <c r="A9" s="22" t="s">
        <v>103</v>
      </c>
      <c r="B9" s="15">
        <f>SUMIFS('Buku Penjualan'!$E$5:$E$49,'Buku Penjualan'!$A$5:$A$49,"&gt;="&amp;DATE($B$4,3,1),'Buku Penjualan'!$A$5:$A$49,"&lt;"&amp;DATE($B$4,3+1,1))</f>
        <v>0</v>
      </c>
      <c r="C9" s="15">
        <f>SUMIFS('Buku Kas Operasional'!$D$5:$D$44,'Buku Kas Operasional'!$C$5:$C$44,"Pendapatan Lain",'Buku Kas Operasional'!$A$5:$A$44,"&gt;="&amp;DATE($B$4,3,1),'Buku Kas Operasional'!$A$5:$A$44,"&lt;"&amp;DATE($B$4,3+1,1))</f>
        <v>0</v>
      </c>
      <c r="D9" s="15">
        <f>SUMIFS('Buku Kas Operasional'!$E$5:$E$44,'Buku Kas Operasional'!$C$5:$C$44,"&lt;&gt;Prive/Pribadi",'Buku Kas Operasional'!$A$5:$A$44,"&gt;="&amp;DATE($B$4,3,1),'Buku Kas Operasional'!$A$5:$A$44,"&lt;"&amp;DATE($B$4,3+1,1))</f>
        <v>0</v>
      </c>
      <c r="E9" s="15">
        <f>SUMIFS('Buku Kas Operasional'!$E$5:$E$44,'Buku Kas Operasional'!$C$5:$C$44,"Prive/Pribadi",'Buku Kas Operasional'!$A$5:$A$44,"&gt;="&amp;DATE($B$4,3,1),'Buku Kas Operasional'!$A$5:$A$44,"&lt;"&amp;DATE($B$4,3+1,1))</f>
        <v>0</v>
      </c>
      <c r="F9" s="29">
        <f>B9+C9-D9</f>
        <v>0</v>
      </c>
    </row>
    <row r="10" spans="1:6" x14ac:dyDescent="0.2">
      <c r="A10" s="22" t="s">
        <v>104</v>
      </c>
      <c r="B10" s="15">
        <f>SUMIFS('Buku Penjualan'!$E$5:$E$49,'Buku Penjualan'!$A$5:$A$49,"&gt;="&amp;DATE($B$4,4,1),'Buku Penjualan'!$A$5:$A$49,"&lt;"&amp;DATE($B$4,4+1,1))</f>
        <v>0</v>
      </c>
      <c r="C10" s="15">
        <f>SUMIFS('Buku Kas Operasional'!$D$5:$D$44,'Buku Kas Operasional'!$C$5:$C$44,"Pendapatan Lain",'Buku Kas Operasional'!$A$5:$A$44,"&gt;="&amp;DATE($B$4,4,1),'Buku Kas Operasional'!$A$5:$A$44,"&lt;"&amp;DATE($B$4,4+1,1))</f>
        <v>0</v>
      </c>
      <c r="D10" s="15">
        <f>SUMIFS('Buku Kas Operasional'!$E$5:$E$44,'Buku Kas Operasional'!$C$5:$C$44,"&lt;&gt;Prive/Pribadi",'Buku Kas Operasional'!$A$5:$A$44,"&gt;="&amp;DATE($B$4,4,1),'Buku Kas Operasional'!$A$5:$A$44,"&lt;"&amp;DATE($B$4,4+1,1))</f>
        <v>0</v>
      </c>
      <c r="E10" s="15">
        <f>SUMIFS('Buku Kas Operasional'!$E$5:$E$44,'Buku Kas Operasional'!$C$5:$C$44,"Prive/Pribadi",'Buku Kas Operasional'!$A$5:$A$44,"&gt;="&amp;DATE($B$4,4,1),'Buku Kas Operasional'!$A$5:$A$44,"&lt;"&amp;DATE($B$4,4+1,1))</f>
        <v>0</v>
      </c>
      <c r="F10" s="29">
        <f>B10+C10-D10</f>
        <v>0</v>
      </c>
    </row>
    <row r="11" spans="1:6" x14ac:dyDescent="0.2">
      <c r="A11" s="22" t="s">
        <v>105</v>
      </c>
      <c r="B11" s="15">
        <f>SUMIFS('Buku Penjualan'!$E$5:$E$49,'Buku Penjualan'!$A$5:$A$49,"&gt;="&amp;DATE($B$4,5,1),'Buku Penjualan'!$A$5:$A$49,"&lt;"&amp;DATE($B$4,5+1,1))</f>
        <v>0</v>
      </c>
      <c r="C11" s="15">
        <f>SUMIFS('Buku Kas Operasional'!$D$5:$D$44,'Buku Kas Operasional'!$C$5:$C$44,"Pendapatan Lain",'Buku Kas Operasional'!$A$5:$A$44,"&gt;="&amp;DATE($B$4,5,1),'Buku Kas Operasional'!$A$5:$A$44,"&lt;"&amp;DATE($B$4,5+1,1))</f>
        <v>0</v>
      </c>
      <c r="D11" s="15">
        <f>SUMIFS('Buku Kas Operasional'!$E$5:$E$44,'Buku Kas Operasional'!$C$5:$C$44,"&lt;&gt;Prive/Pribadi",'Buku Kas Operasional'!$A$5:$A$44,"&gt;="&amp;DATE($B$4,5,1),'Buku Kas Operasional'!$A$5:$A$44,"&lt;"&amp;DATE($B$4,5+1,1))</f>
        <v>0</v>
      </c>
      <c r="E11" s="15">
        <f>SUMIFS('Buku Kas Operasional'!$E$5:$E$44,'Buku Kas Operasional'!$C$5:$C$44,"Prive/Pribadi",'Buku Kas Operasional'!$A$5:$A$44,"&gt;="&amp;DATE($B$4,5,1),'Buku Kas Operasional'!$A$5:$A$44,"&lt;"&amp;DATE($B$4,5+1,1))</f>
        <v>0</v>
      </c>
      <c r="F11" s="29">
        <f>B11+C11-D11</f>
        <v>0</v>
      </c>
    </row>
    <row r="12" spans="1:6" x14ac:dyDescent="0.2">
      <c r="A12" s="22" t="s">
        <v>106</v>
      </c>
      <c r="B12" s="15">
        <f>SUMIFS('Buku Penjualan'!$E$5:$E$49,'Buku Penjualan'!$A$5:$A$49,"&gt;="&amp;DATE($B$4,6,1),'Buku Penjualan'!$A$5:$A$49,"&lt;"&amp;DATE($B$4,6+1,1))</f>
        <v>0</v>
      </c>
      <c r="C12" s="15">
        <f>SUMIFS('Buku Kas Operasional'!$D$5:$D$44,'Buku Kas Operasional'!$C$5:$C$44,"Pendapatan Lain",'Buku Kas Operasional'!$A$5:$A$44,"&gt;="&amp;DATE($B$4,6,1),'Buku Kas Operasional'!$A$5:$A$44,"&lt;"&amp;DATE($B$4,6+1,1))</f>
        <v>0</v>
      </c>
      <c r="D12" s="15">
        <f>SUMIFS('Buku Kas Operasional'!$E$5:$E$44,'Buku Kas Operasional'!$C$5:$C$44,"&lt;&gt;Prive/Pribadi",'Buku Kas Operasional'!$A$5:$A$44,"&gt;="&amp;DATE($B$4,6,1),'Buku Kas Operasional'!$A$5:$A$44,"&lt;"&amp;DATE($B$4,6+1,1))</f>
        <v>0</v>
      </c>
      <c r="E12" s="15">
        <f>SUMIFS('Buku Kas Operasional'!$E$5:$E$44,'Buku Kas Operasional'!$C$5:$C$44,"Prive/Pribadi",'Buku Kas Operasional'!$A$5:$A$44,"&gt;="&amp;DATE($B$4,6,1),'Buku Kas Operasional'!$A$5:$A$44,"&lt;"&amp;DATE($B$4,6+1,1))</f>
        <v>0</v>
      </c>
      <c r="F12" s="29">
        <f>B12+C12-D12</f>
        <v>0</v>
      </c>
    </row>
    <row r="13" spans="1:6" x14ac:dyDescent="0.2">
      <c r="A13" s="22" t="s">
        <v>107</v>
      </c>
      <c r="B13" s="15">
        <f>SUMIFS('Buku Penjualan'!$E$5:$E$49,'Buku Penjualan'!$A$5:$A$49,"&gt;="&amp;DATE($B$4,7,1),'Buku Penjualan'!$A$5:$A$49,"&lt;"&amp;DATE($B$4,7+1,1))</f>
        <v>0</v>
      </c>
      <c r="C13" s="15">
        <f>SUMIFS('Buku Kas Operasional'!$D$5:$D$44,'Buku Kas Operasional'!$C$5:$C$44,"Pendapatan Lain",'Buku Kas Operasional'!$A$5:$A$44,"&gt;="&amp;DATE($B$4,7,1),'Buku Kas Operasional'!$A$5:$A$44,"&lt;"&amp;DATE($B$4,7+1,1))</f>
        <v>0</v>
      </c>
      <c r="D13" s="15">
        <f>SUMIFS('Buku Kas Operasional'!$E$5:$E$44,'Buku Kas Operasional'!$C$5:$C$44,"&lt;&gt;Prive/Pribadi",'Buku Kas Operasional'!$A$5:$A$44,"&gt;="&amp;DATE($B$4,7,1),'Buku Kas Operasional'!$A$5:$A$44,"&lt;"&amp;DATE($B$4,7+1,1))</f>
        <v>0</v>
      </c>
      <c r="E13" s="15">
        <f>SUMIFS('Buku Kas Operasional'!$E$5:$E$44,'Buku Kas Operasional'!$C$5:$C$44,"Prive/Pribadi",'Buku Kas Operasional'!$A$5:$A$44,"&gt;="&amp;DATE($B$4,7,1),'Buku Kas Operasional'!$A$5:$A$44,"&lt;"&amp;DATE($B$4,7+1,1))</f>
        <v>0</v>
      </c>
      <c r="F13" s="29">
        <f>B13+C13-D13</f>
        <v>0</v>
      </c>
    </row>
    <row r="14" spans="1:6" x14ac:dyDescent="0.2">
      <c r="A14" s="22" t="s">
        <v>108</v>
      </c>
      <c r="B14" s="15">
        <f>SUMIFS('Buku Penjualan'!$E$5:$E$49,'Buku Penjualan'!$A$5:$A$49,"&gt;="&amp;DATE($B$4,8,1),'Buku Penjualan'!$A$5:$A$49,"&lt;"&amp;DATE($B$4,8+1,1))</f>
        <v>0</v>
      </c>
      <c r="C14" s="15">
        <f>SUMIFS('Buku Kas Operasional'!$D$5:$D$44,'Buku Kas Operasional'!$C$5:$C$44,"Pendapatan Lain",'Buku Kas Operasional'!$A$5:$A$44,"&gt;="&amp;DATE($B$4,8,1),'Buku Kas Operasional'!$A$5:$A$44,"&lt;"&amp;DATE($B$4,8+1,1))</f>
        <v>0</v>
      </c>
      <c r="D14" s="15">
        <f>SUMIFS('Buku Kas Operasional'!$E$5:$E$44,'Buku Kas Operasional'!$C$5:$C$44,"&lt;&gt;Prive/Pribadi",'Buku Kas Operasional'!$A$5:$A$44,"&gt;="&amp;DATE($B$4,8,1),'Buku Kas Operasional'!$A$5:$A$44,"&lt;"&amp;DATE($B$4,8+1,1))</f>
        <v>0</v>
      </c>
      <c r="E14" s="15">
        <f>SUMIFS('Buku Kas Operasional'!$E$5:$E$44,'Buku Kas Operasional'!$C$5:$C$44,"Prive/Pribadi",'Buku Kas Operasional'!$A$5:$A$44,"&gt;="&amp;DATE($B$4,8,1),'Buku Kas Operasional'!$A$5:$A$44,"&lt;"&amp;DATE($B$4,8+1,1))</f>
        <v>0</v>
      </c>
      <c r="F14" s="29">
        <f>B14+C14-D14</f>
        <v>0</v>
      </c>
    </row>
    <row r="15" spans="1:6" x14ac:dyDescent="0.2">
      <c r="A15" s="22" t="s">
        <v>109</v>
      </c>
      <c r="B15" s="15">
        <f>SUMIFS('Buku Penjualan'!$E$5:$E$49,'Buku Penjualan'!$A$5:$A$49,"&gt;="&amp;DATE($B$4,9,1),'Buku Penjualan'!$A$5:$A$49,"&lt;"&amp;DATE($B$4,9+1,1))</f>
        <v>0</v>
      </c>
      <c r="C15" s="15">
        <f>SUMIFS('Buku Kas Operasional'!$D$5:$D$44,'Buku Kas Operasional'!$C$5:$C$44,"Pendapatan Lain",'Buku Kas Operasional'!$A$5:$A$44,"&gt;="&amp;DATE($B$4,9,1),'Buku Kas Operasional'!$A$5:$A$44,"&lt;"&amp;DATE($B$4,9+1,1))</f>
        <v>0</v>
      </c>
      <c r="D15" s="15">
        <f>SUMIFS('Buku Kas Operasional'!$E$5:$E$44,'Buku Kas Operasional'!$C$5:$C$44,"&lt;&gt;Prive/Pribadi",'Buku Kas Operasional'!$A$5:$A$44,"&gt;="&amp;DATE($B$4,9,1),'Buku Kas Operasional'!$A$5:$A$44,"&lt;"&amp;DATE($B$4,9+1,1))</f>
        <v>0</v>
      </c>
      <c r="E15" s="15">
        <f>SUMIFS('Buku Kas Operasional'!$E$5:$E$44,'Buku Kas Operasional'!$C$5:$C$44,"Prive/Pribadi",'Buku Kas Operasional'!$A$5:$A$44,"&gt;="&amp;DATE($B$4,9,1),'Buku Kas Operasional'!$A$5:$A$44,"&lt;"&amp;DATE($B$4,9+1,1))</f>
        <v>0</v>
      </c>
      <c r="F15" s="29">
        <f>B15+C15-D15</f>
        <v>0</v>
      </c>
    </row>
    <row r="16" spans="1:6" x14ac:dyDescent="0.2">
      <c r="A16" s="22" t="s">
        <v>110</v>
      </c>
      <c r="B16" s="15">
        <f>SUMIFS('Buku Penjualan'!$E$5:$E$49,'Buku Penjualan'!$A$5:$A$49,"&gt;="&amp;DATE($B$4,10,1),'Buku Penjualan'!$A$5:$A$49,"&lt;"&amp;DATE($B$4,10+1,1))</f>
        <v>0</v>
      </c>
      <c r="C16" s="15">
        <f>SUMIFS('Buku Kas Operasional'!$D$5:$D$44,'Buku Kas Operasional'!$C$5:$C$44,"Pendapatan Lain",'Buku Kas Operasional'!$A$5:$A$44,"&gt;="&amp;DATE($B$4,10,1),'Buku Kas Operasional'!$A$5:$A$44,"&lt;"&amp;DATE($B$4,10+1,1))</f>
        <v>0</v>
      </c>
      <c r="D16" s="15">
        <f>SUMIFS('Buku Kas Operasional'!$E$5:$E$44,'Buku Kas Operasional'!$C$5:$C$44,"&lt;&gt;Prive/Pribadi",'Buku Kas Operasional'!$A$5:$A$44,"&gt;="&amp;DATE($B$4,10,1),'Buku Kas Operasional'!$A$5:$A$44,"&lt;"&amp;DATE($B$4,10+1,1))</f>
        <v>0</v>
      </c>
      <c r="E16" s="15">
        <f>SUMIFS('Buku Kas Operasional'!$E$5:$E$44,'Buku Kas Operasional'!$C$5:$C$44,"Prive/Pribadi",'Buku Kas Operasional'!$A$5:$A$44,"&gt;="&amp;DATE($B$4,10,1),'Buku Kas Operasional'!$A$5:$A$44,"&lt;"&amp;DATE($B$4,10+1,1))</f>
        <v>0</v>
      </c>
      <c r="F16" s="29">
        <f>B16+C16-D16</f>
        <v>0</v>
      </c>
    </row>
    <row r="17" spans="1:6" x14ac:dyDescent="0.2">
      <c r="A17" s="22" t="s">
        <v>111</v>
      </c>
      <c r="B17" s="15">
        <f>SUMIFS('Buku Penjualan'!$E$5:$E$49,'Buku Penjualan'!$A$5:$A$49,"&gt;="&amp;DATE($B$4,11,1),'Buku Penjualan'!$A$5:$A$49,"&lt;"&amp;DATE($B$4,11+1,1))</f>
        <v>0</v>
      </c>
      <c r="C17" s="15">
        <f>SUMIFS('Buku Kas Operasional'!$D$5:$D$44,'Buku Kas Operasional'!$C$5:$C$44,"Pendapatan Lain",'Buku Kas Operasional'!$A$5:$A$44,"&gt;="&amp;DATE($B$4,11,1),'Buku Kas Operasional'!$A$5:$A$44,"&lt;"&amp;DATE($B$4,11+1,1))</f>
        <v>0</v>
      </c>
      <c r="D17" s="15">
        <f>SUMIFS('Buku Kas Operasional'!$E$5:$E$44,'Buku Kas Operasional'!$C$5:$C$44,"&lt;&gt;Prive/Pribadi",'Buku Kas Operasional'!$A$5:$A$44,"&gt;="&amp;DATE($B$4,11,1),'Buku Kas Operasional'!$A$5:$A$44,"&lt;"&amp;DATE($B$4,11+1,1))</f>
        <v>0</v>
      </c>
      <c r="E17" s="15">
        <f>SUMIFS('Buku Kas Operasional'!$E$5:$E$44,'Buku Kas Operasional'!$C$5:$C$44,"Prive/Pribadi",'Buku Kas Operasional'!$A$5:$A$44,"&gt;="&amp;DATE($B$4,11,1),'Buku Kas Operasional'!$A$5:$A$44,"&lt;"&amp;DATE($B$4,11+1,1))</f>
        <v>0</v>
      </c>
      <c r="F17" s="29">
        <f>B17+C17-D17</f>
        <v>0</v>
      </c>
    </row>
    <row r="18" spans="1:6" x14ac:dyDescent="0.2">
      <c r="A18" s="22" t="s">
        <v>112</v>
      </c>
      <c r="B18" s="15">
        <f>SUMIFS('Buku Penjualan'!$E$5:$E$49,'Buku Penjualan'!$A$5:$A$49,"&gt;="&amp;DATE($B$4,12,1),'Buku Penjualan'!$A$5:$A$49,"&lt;"&amp;DATE($B$4,12+1,1))</f>
        <v>0</v>
      </c>
      <c r="C18" s="15">
        <f>SUMIFS('Buku Kas Operasional'!$D$5:$D$44,'Buku Kas Operasional'!$C$5:$C$44,"Pendapatan Lain",'Buku Kas Operasional'!$A$5:$A$44,"&gt;="&amp;DATE($B$4,12,1),'Buku Kas Operasional'!$A$5:$A$44,"&lt;"&amp;DATE($B$4,12+1,1))</f>
        <v>0</v>
      </c>
      <c r="D18" s="15">
        <f>SUMIFS('Buku Kas Operasional'!$E$5:$E$44,'Buku Kas Operasional'!$C$5:$C$44,"&lt;&gt;Prive/Pribadi",'Buku Kas Operasional'!$A$5:$A$44,"&gt;="&amp;DATE($B$4,12,1),'Buku Kas Operasional'!$A$5:$A$44,"&lt;"&amp;DATE($B$4,12+1,1))</f>
        <v>0</v>
      </c>
      <c r="E18" s="15">
        <f>SUMIFS('Buku Kas Operasional'!$E$5:$E$44,'Buku Kas Operasional'!$C$5:$C$44,"Prive/Pribadi",'Buku Kas Operasional'!$A$5:$A$44,"&gt;="&amp;DATE($B$4,12,1),'Buku Kas Operasional'!$A$5:$A$44,"&lt;"&amp;DATE($B$4,12+1,1))</f>
        <v>0</v>
      </c>
      <c r="F18" s="29">
        <f>B18+C18-D18</f>
        <v>0</v>
      </c>
    </row>
    <row r="19" spans="1:6" x14ac:dyDescent="0.2">
      <c r="A19" s="16" t="s">
        <v>98</v>
      </c>
      <c r="B19" s="17">
        <f>SUM(B7:B18)</f>
        <v>474000</v>
      </c>
      <c r="C19" s="17">
        <f>SUM(C7:C18)</f>
        <v>0</v>
      </c>
      <c r="D19" s="17">
        <f>SUM(D7:D18)</f>
        <v>280000</v>
      </c>
      <c r="E19" s="17">
        <f>SUM(E7:E18)</f>
        <v>0</v>
      </c>
      <c r="F19" s="17">
        <f>SUM(F7:F18)</f>
        <v>194000</v>
      </c>
    </row>
    <row r="21" spans="1:6" ht="30" customHeight="1" x14ac:dyDescent="0.2">
      <c r="A21" s="1" t="s">
        <v>149</v>
      </c>
      <c r="B21" s="1"/>
      <c r="C21" s="1"/>
      <c r="D21" s="1"/>
      <c r="E21" s="1"/>
      <c r="F21" s="1"/>
    </row>
  </sheetData>
  <mergeCells count="1">
    <mergeCell ref="A21:F2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Android</Application>
  <ScaleCrop>false</ScaleCrop>
  <HeadingPairs>
    <vt:vector size="2" baseType="variant">
      <vt:variant>
        <vt:lpstr>Lembar kerja</vt:lpstr>
      </vt:variant>
      <vt:variant>
        <vt:i4>7</vt:i4>
      </vt:variant>
    </vt:vector>
  </HeadingPairs>
  <TitlesOfParts>
    <vt:vector size="7" baseType="lpstr">
      <vt:lpstr>Panduan</vt:lpstr>
      <vt:lpstr>Buku Penjualan</vt:lpstr>
      <vt:lpstr>Rekap Penjualan Mingguan</vt:lpstr>
      <vt:lpstr>Rekap Penjualan Bulanan</vt:lpstr>
      <vt:lpstr>Buku Kas Operasional</vt:lpstr>
      <vt:lpstr>Hutang Piutang</vt:lpstr>
      <vt:lpstr>Rekap Laba Rugi Bulanan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2026-07-29T07:10:51Z</dcterms:created>
  <dcterms:modified xsi:type="dcterms:W3CDTF">2026-07-29T07:10:51Z</dcterms:modified>
  <dc:language>en-US</dc:language>
</cp:coreProperties>
</file>